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6"/>
  <workbookPr autoCompressPictures="0"/>
  <mc:AlternateContent xmlns:mc="http://schemas.openxmlformats.org/markup-compatibility/2006">
    <mc:Choice Requires="x15">
      <x15ac:absPath xmlns:x15ac="http://schemas.microsoft.com/office/spreadsheetml/2010/11/ac" url="/var/mobile/Containers/Data/Application/4E0B85B3-04C1-4F42-A7A3-37ED1F5B3242/Library/Caches/SideLoading/"/>
    </mc:Choice>
  </mc:AlternateContent>
  <xr:revisionPtr revIDLastSave="0" documentId="8_{B69A1EE4-15C3-0F4A-840A-F49DDD258381}" xr6:coauthVersionLast="45" xr6:coauthVersionMax="45" xr10:uidLastSave="{00000000-0000-0000-0000-000000000000}"/>
  <bookViews>
    <workbookView xWindow="0" yWindow="0" windowWidth="25600" windowHeight="14640" activeTab="2" xr2:uid="{00000000-000D-0000-FFFF-FFFF00000000}"/>
  </bookViews>
  <sheets>
    <sheet name="Income" sheetId="1" r:id="rId1"/>
    <sheet name="Expenditure" sheetId="2" r:id="rId2"/>
    <sheet name="Summary" sheetId="3" r:id="rId3"/>
    <sheet name="200club" sheetId="4" r:id="rId4"/>
    <sheet name="Sheet1" sheetId="5" r:id="rId5"/>
  </sheets>
  <definedNames>
    <definedName name="_xlnm.Print_Area" localSheetId="1">Expenditure!$A$1:$J$135</definedName>
    <definedName name="_xlnm.Print_Area" localSheetId="0">Income!$A$1:$M$86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3" l="1"/>
  <c r="O19" i="3"/>
  <c r="P19" i="3"/>
  <c r="N34" i="3"/>
  <c r="N19" i="3"/>
  <c r="I90" i="2"/>
  <c r="I89" i="2"/>
  <c r="I88" i="2"/>
  <c r="I87" i="2"/>
  <c r="I86" i="2"/>
  <c r="I85" i="2"/>
  <c r="I84" i="2"/>
  <c r="E80" i="1"/>
  <c r="K78" i="1"/>
  <c r="K77" i="1"/>
  <c r="K76" i="1"/>
  <c r="E92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28" i="2"/>
  <c r="I27" i="2"/>
  <c r="I26" i="2"/>
  <c r="I25" i="2"/>
  <c r="I24" i="2"/>
  <c r="I23" i="2"/>
  <c r="I22" i="2"/>
  <c r="I21" i="2"/>
  <c r="I20" i="2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1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10" i="1"/>
  <c r="I10" i="2"/>
  <c r="I11" i="2"/>
  <c r="I12" i="2"/>
  <c r="I13" i="2"/>
  <c r="I14" i="2"/>
  <c r="I15" i="2"/>
  <c r="I16" i="2"/>
  <c r="I17" i="2"/>
  <c r="I18" i="2"/>
  <c r="I19" i="2"/>
  <c r="I29" i="2"/>
  <c r="I30" i="2"/>
  <c r="I31" i="2"/>
  <c r="I32" i="2"/>
  <c r="I33" i="2"/>
  <c r="I34" i="2"/>
  <c r="I35" i="2"/>
  <c r="I36" i="2"/>
  <c r="I37" i="2"/>
  <c r="I38" i="2"/>
  <c r="I39" i="2"/>
  <c r="I40" i="2"/>
  <c r="I92" i="2"/>
  <c r="E9" i="3"/>
  <c r="E10" i="3"/>
  <c r="E11" i="3"/>
  <c r="E12" i="3"/>
  <c r="E13" i="3"/>
  <c r="E14" i="3"/>
  <c r="E15" i="3"/>
  <c r="E16" i="3"/>
  <c r="E17" i="3"/>
  <c r="E19" i="3"/>
  <c r="E23" i="3"/>
  <c r="E24" i="3"/>
  <c r="E25" i="3"/>
  <c r="E26" i="3"/>
  <c r="E27" i="3"/>
  <c r="E28" i="3"/>
  <c r="E29" i="3"/>
  <c r="E30" i="3"/>
  <c r="E31" i="3"/>
  <c r="E34" i="3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80" i="1"/>
  <c r="H9" i="3"/>
  <c r="L9" i="3"/>
  <c r="H10" i="3"/>
  <c r="J10" i="3"/>
  <c r="L10" i="3"/>
  <c r="H11" i="3"/>
  <c r="L11" i="3"/>
  <c r="H12" i="3"/>
  <c r="L12" i="3"/>
  <c r="H13" i="3"/>
  <c r="L13" i="3"/>
  <c r="H14" i="3"/>
  <c r="L14" i="3"/>
  <c r="H15" i="3"/>
  <c r="L15" i="3"/>
  <c r="H16" i="3"/>
  <c r="J16" i="3"/>
  <c r="L16" i="3"/>
  <c r="H17" i="3"/>
  <c r="L17" i="3"/>
  <c r="L19" i="3"/>
  <c r="H23" i="3"/>
  <c r="L23" i="3"/>
  <c r="H24" i="3"/>
  <c r="L24" i="3"/>
  <c r="H25" i="3"/>
  <c r="L25" i="3"/>
  <c r="L26" i="3"/>
  <c r="J27" i="3"/>
  <c r="L27" i="3"/>
  <c r="H28" i="3"/>
  <c r="L28" i="3"/>
  <c r="H29" i="3"/>
  <c r="L29" i="3"/>
  <c r="H30" i="3"/>
  <c r="L30" i="3"/>
  <c r="H31" i="3"/>
  <c r="L31" i="3"/>
  <c r="L34" i="3"/>
  <c r="L36" i="3"/>
  <c r="L40" i="3"/>
  <c r="E40" i="3"/>
  <c r="P34" i="3"/>
  <c r="H34" i="3"/>
  <c r="E44" i="3"/>
  <c r="E47" i="3"/>
  <c r="C28" i="4"/>
  <c r="C26" i="4"/>
  <c r="D31" i="4"/>
  <c r="J34" i="3"/>
  <c r="D26" i="4"/>
  <c r="D27" i="4"/>
  <c r="D25" i="4"/>
  <c r="D24" i="4"/>
  <c r="D23" i="4"/>
  <c r="C16" i="4"/>
  <c r="C15" i="4"/>
  <c r="C14" i="4"/>
  <c r="C11" i="4"/>
  <c r="C10" i="4"/>
  <c r="C18" i="4"/>
  <c r="C6" i="4"/>
  <c r="C20" i="4"/>
  <c r="D28" i="4"/>
  <c r="D30" i="4"/>
  <c r="D29" i="4"/>
  <c r="H19" i="3"/>
  <c r="J19" i="3"/>
</calcChain>
</file>

<file path=xl/sharedStrings.xml><?xml version="1.0" encoding="utf-8"?>
<sst xmlns="http://schemas.openxmlformats.org/spreadsheetml/2006/main" count="478" uniqueCount="212">
  <si>
    <t>Unrestricted Funds</t>
  </si>
  <si>
    <t>Restricted Funds</t>
  </si>
  <si>
    <t>Description</t>
  </si>
  <si>
    <t>I N C O M E</t>
  </si>
  <si>
    <t>(day to day use)</t>
  </si>
  <si>
    <t>(Play Area)</t>
  </si>
  <si>
    <t>Date</t>
  </si>
  <si>
    <t>Total Income</t>
  </si>
  <si>
    <t>Type</t>
  </si>
  <si>
    <t>£</t>
  </si>
  <si>
    <t>HH</t>
  </si>
  <si>
    <t>FR</t>
  </si>
  <si>
    <t xml:space="preserve">E X P E N D I T U R E </t>
  </si>
  <si>
    <t>Total Expenditure</t>
  </si>
  <si>
    <t>Total</t>
  </si>
  <si>
    <t>Expenditure</t>
  </si>
  <si>
    <t xml:space="preserve">Total </t>
  </si>
  <si>
    <t>Income</t>
  </si>
  <si>
    <t>Contributions to water, electricity:</t>
  </si>
  <si>
    <t xml:space="preserve">Bottle Bank </t>
  </si>
  <si>
    <t>Hire of Hall</t>
  </si>
  <si>
    <t>Miscellaneous</t>
  </si>
  <si>
    <t>Bank Interest</t>
  </si>
  <si>
    <t>Insurance</t>
  </si>
  <si>
    <t>Licences, membership fees</t>
  </si>
  <si>
    <t>Misc. incl. Sec/Treas. Expenses</t>
  </si>
  <si>
    <t>Income less Expenditure for the year:</t>
  </si>
  <si>
    <t>Represented by:</t>
  </si>
  <si>
    <t>Barclays Bank Account 10149071:</t>
  </si>
  <si>
    <t>Cash/cheques in hand</t>
  </si>
  <si>
    <t>(type)</t>
  </si>
  <si>
    <t>(cheque)</t>
  </si>
  <si>
    <t>200 Club Donations</t>
  </si>
  <si>
    <t>Utility Bills (Calor Gas, Water, Council Tax, Electricity)</t>
  </si>
  <si>
    <t>Debtors/creditors</t>
  </si>
  <si>
    <t>Refuse collection, dog-bin and consumables</t>
  </si>
  <si>
    <t>Prizes:</t>
  </si>
  <si>
    <t>weekly</t>
  </si>
  <si>
    <t>Per year:</t>
  </si>
  <si>
    <t>Total:</t>
  </si>
  <si>
    <t>Annual income:</t>
  </si>
  <si>
    <t>Up to 200 members, each contribute 25p per week (£1 every 4weeks, or £5 every 20 weeks)</t>
  </si>
  <si>
    <t>If no. of members:</t>
  </si>
  <si>
    <t>Net profit for year:</t>
  </si>
  <si>
    <t>Every 20 weeks</t>
  </si>
  <si>
    <t xml:space="preserve">200 Club Income Analysis - TP guess only </t>
  </si>
  <si>
    <t>2006 income:</t>
  </si>
  <si>
    <t>2005 income:</t>
  </si>
  <si>
    <t>2007 income:</t>
  </si>
  <si>
    <t>U</t>
  </si>
  <si>
    <t>2008 income:</t>
  </si>
  <si>
    <t>Grants received</t>
  </si>
  <si>
    <t>2009 income:</t>
  </si>
  <si>
    <t>Grass and hedge Cutting</t>
  </si>
  <si>
    <t>10/09 +/-%</t>
  </si>
  <si>
    <t>2010 income:</t>
  </si>
  <si>
    <t>average</t>
  </si>
  <si>
    <t>RS</t>
  </si>
  <si>
    <t>BI</t>
  </si>
  <si>
    <t>R</t>
  </si>
  <si>
    <t>2011 income:</t>
  </si>
  <si>
    <t>Fund Raising, Events + Donations</t>
  </si>
  <si>
    <t>Expenses in relation to Fund Raising, Events</t>
  </si>
  <si>
    <t>2012 income:</t>
  </si>
  <si>
    <t xml:space="preserve">Repairs, Maintenance and Refurbishment </t>
  </si>
  <si>
    <t>(Hall Extension)</t>
  </si>
  <si>
    <t>(Hall extension)</t>
  </si>
  <si>
    <t>2013 income:</t>
  </si>
  <si>
    <t>*</t>
  </si>
  <si>
    <t>Safety inspections (Fire, Electrics, Play area)</t>
  </si>
  <si>
    <t>S</t>
  </si>
  <si>
    <t>2014 income:</t>
  </si>
  <si>
    <t>2C</t>
  </si>
  <si>
    <t>BB</t>
  </si>
  <si>
    <t>I</t>
  </si>
  <si>
    <t>IN</t>
  </si>
  <si>
    <t>GC</t>
  </si>
  <si>
    <t>M</t>
  </si>
  <si>
    <t>CW</t>
  </si>
  <si>
    <t>G</t>
  </si>
  <si>
    <t>.</t>
  </si>
  <si>
    <t>-</t>
  </si>
  <si>
    <t>Calor Gas</t>
  </si>
  <si>
    <t>Leisure Hub</t>
  </si>
  <si>
    <t>LH</t>
  </si>
  <si>
    <t xml:space="preserve">Leisure Hub </t>
  </si>
  <si>
    <t xml:space="preserve">Hire of Hall </t>
  </si>
  <si>
    <t>2020  Erpingham with Calthorpe Village Hall Management Committee</t>
  </si>
  <si>
    <t>Statement of Financial Activities for the Year ended 31 December 2020</t>
  </si>
  <si>
    <t>Coffee Club December</t>
  </si>
  <si>
    <t>Kurling December</t>
  </si>
  <si>
    <t>Pilates December</t>
  </si>
  <si>
    <t>Carpet Bowls December</t>
  </si>
  <si>
    <t>Short Mat Bowls December</t>
  </si>
  <si>
    <t>B Coppard Party 14/12/19</t>
  </si>
  <si>
    <t>Ramblers Donation re Using VH Car Park</t>
  </si>
  <si>
    <t>Table Tennis December</t>
  </si>
  <si>
    <t>Art Group December</t>
  </si>
  <si>
    <t>Blickling Scottish Country Dancing December</t>
  </si>
  <si>
    <t xml:space="preserve">Parish Council Meetings </t>
  </si>
  <si>
    <t>Zumba December</t>
  </si>
  <si>
    <t>Calor Gas Credit re Overpayment in 2019</t>
  </si>
  <si>
    <t>U3AArt 2019</t>
  </si>
  <si>
    <t>Erpingham Primary School</t>
  </si>
  <si>
    <t>NNDC re VH Hire General Election 12/12/19</t>
  </si>
  <si>
    <t>Jackie Grimble Festival of Crafts27/10/19</t>
  </si>
  <si>
    <t>Quiz Night 25/1/20 Ticket Sales etc</t>
  </si>
  <si>
    <t>Zumba October 2019</t>
  </si>
  <si>
    <t>Kurling January</t>
  </si>
  <si>
    <t>Pilates January</t>
  </si>
  <si>
    <t>Carpet Bowls January</t>
  </si>
  <si>
    <t>Yoga January</t>
  </si>
  <si>
    <t>Short Mat Bowls January</t>
  </si>
  <si>
    <t xml:space="preserve">Coffee Club January </t>
  </si>
  <si>
    <t>Art Group January</t>
  </si>
  <si>
    <t xml:space="preserve">Zumba January </t>
  </si>
  <si>
    <t>A Boekee Birthday Tea 1/2/20</t>
  </si>
  <si>
    <t xml:space="preserve">Table Tennis January </t>
  </si>
  <si>
    <t>WI Meeting 22/2/20</t>
  </si>
  <si>
    <t xml:space="preserve">Scottish Country Dancing January </t>
  </si>
  <si>
    <t>Film Night Float In</t>
  </si>
  <si>
    <t>Proceeds From Film Night 22/2/20</t>
  </si>
  <si>
    <t xml:space="preserve">Zumba February </t>
  </si>
  <si>
    <t xml:space="preserve">Yoga February </t>
  </si>
  <si>
    <t xml:space="preserve">Coffee Club February </t>
  </si>
  <si>
    <t xml:space="preserve">Kurling February </t>
  </si>
  <si>
    <t xml:space="preserve">Pilates February </t>
  </si>
  <si>
    <t xml:space="preserve">Carpet Bowls February </t>
  </si>
  <si>
    <t xml:space="preserve">Short Mat Bowls February </t>
  </si>
  <si>
    <t>NHS Norfolk CCG</t>
  </si>
  <si>
    <t xml:space="preserve">Art Group February </t>
  </si>
  <si>
    <t>Annual Subs to 200Club For Marsinah</t>
  </si>
  <si>
    <t>WI Xmas Meal 6/12/19 &amp; Meeting 26/2/20</t>
  </si>
  <si>
    <t xml:space="preserve">Scottish Country Dancing February </t>
  </si>
  <si>
    <t>Bowls Club Dinner 18/12/19</t>
  </si>
  <si>
    <t xml:space="preserve">Zumba March </t>
  </si>
  <si>
    <t xml:space="preserve">Scottish Country Dancing March </t>
  </si>
  <si>
    <t xml:space="preserve">Coffee Club March </t>
  </si>
  <si>
    <t>Pilates March</t>
  </si>
  <si>
    <t xml:space="preserve">Carpet Bowls March </t>
  </si>
  <si>
    <t xml:space="preserve">Short Mat Bowls March </t>
  </si>
  <si>
    <t>Yoga Pia Shell</t>
  </si>
  <si>
    <t xml:space="preserve">Table Tennis February </t>
  </si>
  <si>
    <t xml:space="preserve">Table Tennis March </t>
  </si>
  <si>
    <t>Wessex Water VH Hire(late payment)</t>
  </si>
  <si>
    <t>NNDC Business Grant(re COVID)</t>
  </si>
  <si>
    <t>Plus Net Internet Connection</t>
  </si>
  <si>
    <t>Ros Horne Reimbursement re Cleaners Chocolates Gift</t>
  </si>
  <si>
    <t>Dennis Wells Reimbursement re NNDC Drinks Licience Film Night</t>
  </si>
  <si>
    <t>Dennis Wells Reimbursement re 1 Bottle Calor Gas Aldborough PO</t>
  </si>
  <si>
    <t xml:space="preserve">PPLPRS Music Licience </t>
  </si>
  <si>
    <t>John Snelling Reimbursement re Quiz Night Prizes</t>
  </si>
  <si>
    <t>John Snelling Reimbursement re 2 Wall Clocks</t>
  </si>
  <si>
    <t>John Snelling Reimbursement re Smoke Alarm</t>
  </si>
  <si>
    <t>Dennis Wells Reimbursement re Chocolates Quiz Night</t>
  </si>
  <si>
    <t>E-on Electricity</t>
  </si>
  <si>
    <t>Gottersons Fish Bar re F&amp;C re Quiz Night</t>
  </si>
  <si>
    <t xml:space="preserve">Plus Net Internet Connection </t>
  </si>
  <si>
    <t>Ros Horne Reimbursement re Quiche Quiz Night</t>
  </si>
  <si>
    <t>NNDC Waste Recycle Sacks</t>
  </si>
  <si>
    <t>S Curtis Examination/Audit EWCVHMC Accounts</t>
  </si>
  <si>
    <t xml:space="preserve">Dennis Wells Reimbursement re 1 Cylinder Calor Gas From Aldborough </t>
  </si>
  <si>
    <t>Film Night Float Out</t>
  </si>
  <si>
    <t>SNB Plumbing &amp; Heating Check VH Heaters</t>
  </si>
  <si>
    <t xml:space="preserve">E-on Electricity </t>
  </si>
  <si>
    <t>Ros Horne Reimbursement re Wine/Chocolates Film Night</t>
  </si>
  <si>
    <t xml:space="preserve">URM Waste Glass Collection </t>
  </si>
  <si>
    <t>R Harden Reimbursement re Shuttering Timber For Gas Tank Base</t>
  </si>
  <si>
    <t>Dennis Wells Reimbursement reDVD Yesterday For Film Night</t>
  </si>
  <si>
    <t>Dennis Wells Reimbursement re Sand&amp;Cement For Gas Tank Base</t>
  </si>
  <si>
    <t xml:space="preserve">Film Bank Media Licience For Film Yesterday </t>
  </si>
  <si>
    <t xml:space="preserve">Ros Horne Reimbursement re Cleaning Materials </t>
  </si>
  <si>
    <t>SNB Plumbing &amp; Heating Gas Radiator Repair</t>
  </si>
  <si>
    <t>WAVE Water</t>
  </si>
  <si>
    <t>R Harden Reimbursement re Printer Ink Cartridge</t>
  </si>
  <si>
    <t>Keeping In Touch Contribution</t>
  </si>
  <si>
    <t>URM Waste Glass Collection</t>
  </si>
  <si>
    <t>Flo Gas Full Tank Delivery</t>
  </si>
  <si>
    <t>SNB Plumbing &amp; Heating Connect To New Gas Tank</t>
  </si>
  <si>
    <t>John Snelling Reimbursement re Padlocks</t>
  </si>
  <si>
    <t>Ace Fire Annual Inspection</t>
  </si>
  <si>
    <t>Norfolk Prestige Fencing Gas Tank Enclosure</t>
  </si>
  <si>
    <t xml:space="preserve">John Snelling Reimbursement re Gravel </t>
  </si>
  <si>
    <t>S Haynes Lighting/Power Checks</t>
  </si>
  <si>
    <t>Norris &amp; Fisher VH Insurance</t>
  </si>
  <si>
    <t>John Snelling Reimbursement re VAX Cleaner</t>
  </si>
  <si>
    <t>John Snelling Reimbursement re Stationery</t>
  </si>
  <si>
    <t>Ros Horne Reimbursement re Cleaning Materials</t>
  </si>
  <si>
    <t>Crown Supplies 2 Hand Sanitisers</t>
  </si>
  <si>
    <t>John Snelling Reimbursement re Batteries</t>
  </si>
  <si>
    <t xml:space="preserve">URM Glass Collection </t>
  </si>
  <si>
    <t>Ros Horne Reimbursement re Paper Towels</t>
  </si>
  <si>
    <t>Flo Gas Standing Charge</t>
  </si>
  <si>
    <t>Norfolk Cleaning Group Deep Clean</t>
  </si>
  <si>
    <t>Anyrep re Inspection Heatra Water Boiler For Defects</t>
  </si>
  <si>
    <t>SNB Plumbing &amp; Heating Annual Service</t>
  </si>
  <si>
    <t>Barbara Goodrum VH Cleaning</t>
  </si>
  <si>
    <t>John Snelling Reimbursement re Padlock</t>
  </si>
  <si>
    <t xml:space="preserve">Bowls Club Contribution Towardsee Surgery </t>
  </si>
  <si>
    <t xml:space="preserve">URMWaste Collection Service </t>
  </si>
  <si>
    <t>Short Mat Bowls October</t>
  </si>
  <si>
    <t>Carpet Bowls Oct/Nov.</t>
  </si>
  <si>
    <t>Zumba October</t>
  </si>
  <si>
    <t>Table Tennis Oct/Nov</t>
  </si>
  <si>
    <t>SNB Plumbing &amp; Heating Gas Supply Fault</t>
  </si>
  <si>
    <t xml:space="preserve">Tree Surgery Services </t>
  </si>
  <si>
    <t>Ros Horne Reimbursement re Purchase ChristmasTree</t>
  </si>
  <si>
    <t>2020   Erpingham with Calthorpe Village Hall Management Committee</t>
  </si>
  <si>
    <t>Brought Forward as at 1 January 2020</t>
  </si>
  <si>
    <t>Utility Bills (Calor Gas, Water, Council Tax, Electricity, Internet</t>
  </si>
  <si>
    <t>Prepared by Richard Harden</t>
  </si>
  <si>
    <t xml:space="preserve">Treasurer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</si>
</sst>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£&quot;* #,##0.00_);_(&quot;£&quot;* \(#,##0.00\);_(&quot;£&quot;* &quot;-&quot;??_);_(@_)"/>
    <numFmt numFmtId="164" formatCode="&quot;£&quot;#,##0;[Red]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[$£-809]#,##0.00"/>
    <numFmt numFmtId="168" formatCode="_([$£-809]* #,##0.00_);_([$£-809]* \(#,##0.00\);_([$£-809]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rgb="FFFF0000"/>
      <name val="Arial"/>
    </font>
    <font>
      <sz val="10"/>
      <color rgb="FFFFFF00"/>
      <name val="Arial"/>
    </font>
    <font>
      <sz val="10"/>
      <color theme="1"/>
      <name val="Arial"/>
    </font>
    <font>
      <b/>
      <sz val="10"/>
      <name val="Arial"/>
    </font>
    <font>
      <strike/>
      <sz val="10"/>
      <name val="Arial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</borders>
  <cellStyleXfs count="4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2" applyFont="1" applyBorder="1"/>
    <xf numFmtId="0" fontId="5" fillId="0" borderId="0" xfId="0" quotePrefix="1" applyFont="1" applyAlignment="1">
      <alignment horizontal="center"/>
    </xf>
    <xf numFmtId="165" fontId="0" fillId="0" borderId="0" xfId="2" applyFont="1"/>
    <xf numFmtId="165" fontId="0" fillId="0" borderId="0" xfId="0" applyNumberFormat="1"/>
    <xf numFmtId="165" fontId="0" fillId="0" borderId="1" xfId="2" applyFont="1" applyBorder="1"/>
    <xf numFmtId="165" fontId="0" fillId="0" borderId="1" xfId="0" applyNumberFormat="1" applyBorder="1"/>
    <xf numFmtId="0" fontId="7" fillId="0" borderId="0" xfId="0" applyFont="1"/>
    <xf numFmtId="0" fontId="0" fillId="0" borderId="1" xfId="0" applyBorder="1"/>
    <xf numFmtId="165" fontId="0" fillId="0" borderId="2" xfId="0" applyNumberFormat="1" applyBorder="1"/>
    <xf numFmtId="0" fontId="0" fillId="0" borderId="0" xfId="0" applyAlignment="1">
      <alignment horizontal="left"/>
    </xf>
    <xf numFmtId="165" fontId="2" fillId="0" borderId="3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quotePrefix="1"/>
    <xf numFmtId="41" fontId="9" fillId="0" borderId="0" xfId="1" applyNumberFormat="1" applyFont="1" applyAlignment="1" applyProtection="1">
      <alignment horizontal="centerContinuous" vertical="center"/>
    </xf>
    <xf numFmtId="0" fontId="10" fillId="0" borderId="0" xfId="0" applyFont="1"/>
    <xf numFmtId="0" fontId="11" fillId="0" borderId="0" xfId="0" applyFont="1"/>
    <xf numFmtId="165" fontId="11" fillId="0" borderId="0" xfId="2" applyFont="1"/>
    <xf numFmtId="165" fontId="11" fillId="0" borderId="2" xfId="2" applyFont="1" applyBorder="1"/>
    <xf numFmtId="165" fontId="11" fillId="0" borderId="0" xfId="2" quotePrefix="1" applyFont="1" applyAlignment="1">
      <alignment horizontal="left"/>
    </xf>
    <xf numFmtId="165" fontId="11" fillId="0" borderId="0" xfId="2" applyFont="1" applyBorder="1"/>
    <xf numFmtId="165" fontId="0" fillId="0" borderId="0" xfId="2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165" fontId="2" fillId="0" borderId="3" xfId="2" applyNumberFormat="1" applyFont="1" applyBorder="1"/>
    <xf numFmtId="0" fontId="12" fillId="0" borderId="0" xfId="0" applyFont="1" applyAlignment="1">
      <alignment horizontal="centerContinuous" vertical="center"/>
    </xf>
    <xf numFmtId="0" fontId="12" fillId="0" borderId="0" xfId="0" quotePrefix="1" applyFont="1"/>
    <xf numFmtId="10" fontId="12" fillId="0" borderId="0" xfId="3" applyNumberFormat="1" applyFont="1"/>
    <xf numFmtId="0" fontId="10" fillId="0" borderId="0" xfId="0" applyFont="1" applyAlignment="1">
      <alignment horizontal="center"/>
    </xf>
    <xf numFmtId="165" fontId="10" fillId="0" borderId="0" xfId="2" applyFont="1"/>
    <xf numFmtId="0" fontId="1" fillId="0" borderId="0" xfId="0" applyFont="1"/>
    <xf numFmtId="9" fontId="14" fillId="0" borderId="0" xfId="3" applyNumberFormat="1" applyFont="1"/>
    <xf numFmtId="9" fontId="12" fillId="0" borderId="0" xfId="3" applyNumberFormat="1" applyFont="1"/>
    <xf numFmtId="9" fontId="12" fillId="0" borderId="0" xfId="0" applyNumberFormat="1" applyFont="1"/>
    <xf numFmtId="0" fontId="0" fillId="0" borderId="0" xfId="0" quotePrefix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2" applyFont="1"/>
    <xf numFmtId="165" fontId="1" fillId="0" borderId="0" xfId="2" applyFont="1" applyBorder="1"/>
    <xf numFmtId="0" fontId="0" fillId="0" borderId="0" xfId="0" applyFont="1"/>
    <xf numFmtId="0" fontId="1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0" fillId="0" borderId="0" xfId="0" applyFill="1"/>
    <xf numFmtId="0" fontId="0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1" fontId="9" fillId="0" borderId="0" xfId="1" applyNumberFormat="1" applyFont="1" applyBorder="1" applyAlignment="1" applyProtection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41" fontId="9" fillId="0" borderId="0" xfId="1" applyNumberFormat="1" applyFont="1" applyBorder="1" applyAlignment="1" applyProtection="1">
      <alignment horizontal="centerContinuous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quotePrefix="1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165" fontId="4" fillId="0" borderId="0" xfId="2" applyFont="1" applyBorder="1" applyAlignment="1">
      <alignment horizontal="center"/>
    </xf>
    <xf numFmtId="0" fontId="0" fillId="0" borderId="0" xfId="0" quotePrefix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9" fillId="0" borderId="0" xfId="1" applyNumberFormat="1" applyFont="1" applyBorder="1" applyAlignment="1" applyProtection="1">
      <alignment vertical="center"/>
    </xf>
    <xf numFmtId="41" fontId="9" fillId="0" borderId="0" xfId="1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65" fontId="1" fillId="0" borderId="0" xfId="2" applyFont="1" applyFill="1" applyBorder="1"/>
    <xf numFmtId="0" fontId="0" fillId="0" borderId="0" xfId="0" applyBorder="1" applyAlignment="1">
      <alignment horizontal="left"/>
    </xf>
    <xf numFmtId="165" fontId="0" fillId="0" borderId="0" xfId="2" applyFont="1" applyFill="1" applyBorder="1"/>
    <xf numFmtId="165" fontId="0" fillId="0" borderId="0" xfId="0" applyNumberFormat="1" applyFill="1" applyBorder="1"/>
    <xf numFmtId="164" fontId="0" fillId="0" borderId="0" xfId="0" applyNumberFormat="1" applyFont="1" applyFill="1" applyBorder="1"/>
    <xf numFmtId="0" fontId="19" fillId="0" borderId="0" xfId="0" applyFont="1" applyFill="1" applyBorder="1"/>
    <xf numFmtId="0" fontId="0" fillId="0" borderId="0" xfId="0" applyFont="1" applyFill="1" applyBorder="1" applyAlignment="1">
      <alignment horizontal="center"/>
    </xf>
    <xf numFmtId="10" fontId="14" fillId="0" borderId="0" xfId="3" applyNumberFormat="1" applyFont="1"/>
    <xf numFmtId="15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5" fontId="20" fillId="0" borderId="0" xfId="2" applyFont="1" applyFill="1" applyBorder="1" applyAlignment="1">
      <alignment horizontal="center"/>
    </xf>
    <xf numFmtId="1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167" fontId="3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165" fontId="15" fillId="0" borderId="0" xfId="2" applyFont="1" applyFill="1" applyBorder="1"/>
    <xf numFmtId="0" fontId="15" fillId="0" borderId="0" xfId="0" applyFont="1" applyFill="1" applyBorder="1"/>
    <xf numFmtId="165" fontId="1" fillId="0" borderId="0" xfId="0" applyNumberFormat="1" applyFont="1" applyFill="1" applyBorder="1"/>
    <xf numFmtId="0" fontId="21" fillId="0" borderId="0" xfId="0" applyFont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22" fillId="0" borderId="4" xfId="0" applyNumberFormat="1" applyFont="1" applyBorder="1" applyAlignment="1">
      <alignment horizontal="center" vertical="center"/>
    </xf>
    <xf numFmtId="165" fontId="1" fillId="0" borderId="4" xfId="2" applyFont="1" applyFill="1" applyBorder="1"/>
    <xf numFmtId="165" fontId="1" fillId="0" borderId="4" xfId="2" quotePrefix="1" applyFont="1" applyFill="1" applyBorder="1"/>
    <xf numFmtId="165" fontId="15" fillId="0" borderId="4" xfId="2" applyFont="1" applyFill="1" applyBorder="1"/>
    <xf numFmtId="165" fontId="1" fillId="0" borderId="5" xfId="2" applyFont="1" applyFill="1" applyBorder="1"/>
    <xf numFmtId="0" fontId="15" fillId="0" borderId="4" xfId="0" applyFont="1" applyFill="1" applyBorder="1"/>
    <xf numFmtId="165" fontId="1" fillId="0" borderId="4" xfId="0" applyNumberFormat="1" applyFont="1" applyFill="1" applyBorder="1"/>
    <xf numFmtId="164" fontId="1" fillId="0" borderId="4" xfId="0" applyNumberFormat="1" applyFont="1" applyFill="1" applyBorder="1"/>
    <xf numFmtId="165" fontId="1" fillId="0" borderId="4" xfId="0" quotePrefix="1" applyNumberFormat="1" applyFont="1" applyFill="1" applyBorder="1"/>
    <xf numFmtId="44" fontId="1" fillId="0" borderId="4" xfId="0" applyNumberFormat="1" applyFont="1" applyFill="1" applyBorder="1"/>
    <xf numFmtId="0" fontId="23" fillId="0" borderId="0" xfId="0" quotePrefix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9" fillId="0" borderId="0" xfId="1" applyNumberFormat="1" applyFont="1" applyBorder="1" applyAlignment="1" applyProtection="1">
      <alignment horizontal="center" vertical="center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</cellXfs>
  <cellStyles count="44">
    <cellStyle name="Comma" xfId="1" builtinId="3"/>
    <cellStyle name="Currency" xfId="2" builtinId="4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1" builtinId="9" hidden="1"/>
    <cellStyle name="Followed Hyperlink" xfId="33" builtinId="9" hidden="1"/>
    <cellStyle name="Followed Hyperlink" xfId="25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5" builtinId="9" hidden="1"/>
    <cellStyle name="Hyperlink" xfId="42" builtinId="8" hidden="1"/>
    <cellStyle name="Hyperlink" xfId="6" builtinId="8" hidden="1"/>
    <cellStyle name="Hyperlink" xfId="36" builtinId="8" hidden="1"/>
    <cellStyle name="Hyperlink" xfId="10" builtinId="8" hidden="1"/>
    <cellStyle name="Hyperlink" xfId="38" builtinId="8" hidden="1"/>
    <cellStyle name="Hyperlink" xfId="12" builtinId="8" hidden="1"/>
    <cellStyle name="Hyperlink" xfId="32" builtinId="8" hidden="1"/>
    <cellStyle name="Hyperlink" xfId="34" builtinId="8" hidden="1"/>
    <cellStyle name="Hyperlink" xfId="40" builtinId="8" hidden="1"/>
    <cellStyle name="Hyperlink" xfId="14" builtinId="8" hidden="1"/>
    <cellStyle name="Hyperlink" xfId="24" builtinId="8" hidden="1"/>
    <cellStyle name="Hyperlink" xfId="8" builtinId="8" hidden="1"/>
    <cellStyle name="Hyperlink" xfId="26" builtinId="8" hidden="1"/>
    <cellStyle name="Hyperlink" xfId="22" builtinId="8" hidden="1"/>
    <cellStyle name="Hyperlink" xfId="16" builtinId="8" hidden="1"/>
    <cellStyle name="Hyperlink" xfId="18" builtinId="8" hidden="1"/>
    <cellStyle name="Hyperlink" xfId="20" builtinId="8" hidden="1"/>
    <cellStyle name="Hyperlink" xfId="28" builtinId="8" hidden="1"/>
    <cellStyle name="Hyperlink" xfId="30" builtinId="8" hidden="1"/>
    <cellStyle name="Hyperlink" xfId="4" builtinId="8" hidden="1"/>
    <cellStyle name="Normal" xfId="0" builtinId="0"/>
    <cellStyle name="Percent" xfId="3" builtinId="5"/>
  </cellStyles>
  <dxfs count="4">
    <dxf>
      <font>
        <b val="0"/>
        <i val="0"/>
        <strike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90"/>
  <sheetViews>
    <sheetView topLeftCell="B70" zoomScale="125" zoomScaleNormal="125" zoomScalePageLayoutView="125" workbookViewId="0">
      <selection activeCell="B87" sqref="B87"/>
    </sheetView>
  </sheetViews>
  <sheetFormatPr defaultColWidth="8.76171875" defaultRowHeight="12.75" x14ac:dyDescent="0.15"/>
  <cols>
    <col min="1" max="1" width="11.59375" style="42" customWidth="1"/>
    <col min="2" max="2" width="57.8515625" style="42" customWidth="1"/>
    <col min="3" max="3" width="4.1796875" style="64" customWidth="1"/>
    <col min="4" max="4" width="2.2890625" style="42" customWidth="1"/>
    <col min="5" max="5" width="11.59375" style="62" customWidth="1"/>
    <col min="6" max="6" width="2.96484375" style="62" customWidth="1"/>
    <col min="7" max="7" width="7.28125" style="62" customWidth="1"/>
    <col min="8" max="8" width="4.1796875" style="62" customWidth="1"/>
    <col min="9" max="9" width="5.52734375" style="62" customWidth="1"/>
    <col min="10" max="10" width="6.06640625" style="62" customWidth="1"/>
    <col min="11" max="11" width="13.484375" style="42" customWidth="1"/>
    <col min="12" max="12" width="3.50390625" style="42" customWidth="1"/>
    <col min="13" max="13" width="28.72265625" style="42" customWidth="1"/>
    <col min="14" max="16384" width="8.76171875" style="42"/>
  </cols>
  <sheetData>
    <row r="1" spans="1:14" ht="18" x14ac:dyDescent="0.15">
      <c r="A1" s="129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55"/>
      <c r="N1" s="55"/>
    </row>
    <row r="2" spans="1:14" ht="9" customHeight="1" x14ac:dyDescent="0.2">
      <c r="A2" s="57"/>
      <c r="B2" s="55"/>
      <c r="C2" s="56"/>
      <c r="D2" s="57"/>
      <c r="E2" s="57"/>
      <c r="F2" s="57"/>
      <c r="G2" s="57"/>
      <c r="H2" s="57"/>
      <c r="I2" s="57"/>
      <c r="J2" s="57"/>
      <c r="K2" s="55"/>
      <c r="L2" s="55"/>
    </row>
    <row r="3" spans="1:14" ht="18" customHeight="1" x14ac:dyDescent="0.15">
      <c r="A3" s="58" t="s">
        <v>88</v>
      </c>
      <c r="B3" s="59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9" customHeight="1" x14ac:dyDescent="0.15">
      <c r="B4" s="61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8" x14ac:dyDescent="0.2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5"/>
      <c r="L5" s="55"/>
    </row>
    <row r="6" spans="1:14" ht="18" x14ac:dyDescent="0.2">
      <c r="A6" s="57"/>
      <c r="B6" s="57"/>
      <c r="C6" s="57"/>
      <c r="D6" s="57"/>
      <c r="E6" s="57"/>
      <c r="F6" s="57"/>
      <c r="G6" s="57"/>
      <c r="H6" s="57"/>
      <c r="I6" s="57"/>
      <c r="J6" s="42"/>
    </row>
    <row r="7" spans="1:14" x14ac:dyDescent="0.15">
      <c r="A7" s="62" t="s">
        <v>6</v>
      </c>
      <c r="B7" s="62" t="s">
        <v>2</v>
      </c>
      <c r="C7" s="63" t="s">
        <v>8</v>
      </c>
      <c r="E7" s="73" t="s">
        <v>0</v>
      </c>
      <c r="F7" s="73"/>
      <c r="G7" s="128" t="s">
        <v>1</v>
      </c>
      <c r="H7" s="128"/>
      <c r="I7" s="128"/>
      <c r="J7" s="42"/>
      <c r="K7" s="73" t="s">
        <v>7</v>
      </c>
    </row>
    <row r="8" spans="1:14" x14ac:dyDescent="0.15">
      <c r="A8" s="62"/>
      <c r="E8" s="65" t="s">
        <v>4</v>
      </c>
      <c r="F8" s="65"/>
      <c r="G8" s="65" t="s">
        <v>5</v>
      </c>
      <c r="H8" s="65"/>
      <c r="I8" s="54" t="s">
        <v>65</v>
      </c>
      <c r="J8" s="42"/>
    </row>
    <row r="9" spans="1:14" x14ac:dyDescent="0.15">
      <c r="A9" s="66"/>
      <c r="E9" s="67" t="s">
        <v>9</v>
      </c>
      <c r="F9" s="67"/>
      <c r="G9" s="67" t="s">
        <v>9</v>
      </c>
      <c r="H9" s="67"/>
      <c r="I9" s="67" t="s">
        <v>9</v>
      </c>
      <c r="J9" s="68"/>
      <c r="K9" s="67" t="s">
        <v>9</v>
      </c>
    </row>
    <row r="10" spans="1:14" x14ac:dyDescent="0.15">
      <c r="A10" s="66">
        <v>43833</v>
      </c>
      <c r="B10" s="53" t="s">
        <v>89</v>
      </c>
      <c r="C10" s="53" t="s">
        <v>10</v>
      </c>
      <c r="E10" s="27">
        <v>75</v>
      </c>
      <c r="F10" s="27"/>
      <c r="G10" s="27"/>
      <c r="H10" s="27"/>
      <c r="I10" s="27"/>
      <c r="J10" s="42"/>
      <c r="K10" s="70">
        <f t="shared" ref="K10:K78" si="0">E10+G10+I10</f>
        <v>75</v>
      </c>
      <c r="M10" s="71"/>
    </row>
    <row r="11" spans="1:14" x14ac:dyDescent="0.15">
      <c r="A11" s="66">
        <v>43836</v>
      </c>
      <c r="B11" s="69" t="s">
        <v>90</v>
      </c>
      <c r="C11" s="69" t="s">
        <v>10</v>
      </c>
      <c r="E11" s="27">
        <v>20</v>
      </c>
      <c r="F11" s="27"/>
      <c r="G11" s="27"/>
      <c r="H11" s="27"/>
      <c r="I11" s="27"/>
      <c r="J11" s="42"/>
      <c r="K11" s="70">
        <f t="shared" si="0"/>
        <v>20</v>
      </c>
      <c r="M11" s="71"/>
    </row>
    <row r="12" spans="1:14" x14ac:dyDescent="0.15">
      <c r="A12" s="66">
        <v>43836</v>
      </c>
      <c r="B12" s="53" t="s">
        <v>91</v>
      </c>
      <c r="C12" s="69" t="s">
        <v>10</v>
      </c>
      <c r="E12" s="27">
        <v>35</v>
      </c>
      <c r="F12" s="27"/>
      <c r="G12" s="27"/>
      <c r="H12" s="27"/>
      <c r="I12" s="27"/>
      <c r="J12" s="42"/>
      <c r="K12" s="70">
        <f t="shared" si="0"/>
        <v>35</v>
      </c>
    </row>
    <row r="13" spans="1:14" x14ac:dyDescent="0.15">
      <c r="A13" s="66">
        <v>43836</v>
      </c>
      <c r="B13" s="69" t="s">
        <v>92</v>
      </c>
      <c r="C13" s="69" t="s">
        <v>10</v>
      </c>
      <c r="E13" s="27">
        <v>40</v>
      </c>
      <c r="F13" s="27"/>
      <c r="G13" s="27"/>
      <c r="H13" s="27"/>
      <c r="I13" s="27"/>
      <c r="J13" s="42"/>
      <c r="K13" s="70">
        <f t="shared" si="0"/>
        <v>40</v>
      </c>
    </row>
    <row r="14" spans="1:14" x14ac:dyDescent="0.15">
      <c r="A14" s="66">
        <v>43836</v>
      </c>
      <c r="B14" s="53" t="s">
        <v>93</v>
      </c>
      <c r="C14" s="69" t="s">
        <v>10</v>
      </c>
      <c r="E14" s="27">
        <v>40</v>
      </c>
      <c r="F14" s="27"/>
      <c r="G14" s="27"/>
      <c r="H14" s="27"/>
      <c r="I14" s="27"/>
      <c r="J14" s="42"/>
      <c r="K14" s="70">
        <f t="shared" si="0"/>
        <v>40</v>
      </c>
    </row>
    <row r="15" spans="1:14" x14ac:dyDescent="0.15">
      <c r="A15" s="66">
        <v>43837</v>
      </c>
      <c r="B15" s="53" t="s">
        <v>94</v>
      </c>
      <c r="C15" s="69" t="s">
        <v>10</v>
      </c>
      <c r="E15" s="27">
        <v>170</v>
      </c>
      <c r="F15" s="27"/>
      <c r="G15" s="27"/>
      <c r="H15" s="27"/>
      <c r="I15" s="27"/>
      <c r="J15" s="42"/>
      <c r="K15" s="70">
        <f t="shared" si="0"/>
        <v>170</v>
      </c>
    </row>
    <row r="16" spans="1:14" x14ac:dyDescent="0.15">
      <c r="A16" s="66">
        <v>43839</v>
      </c>
      <c r="B16" s="53" t="s">
        <v>95</v>
      </c>
      <c r="C16" s="53" t="s">
        <v>11</v>
      </c>
      <c r="E16" s="27">
        <v>13</v>
      </c>
      <c r="F16" s="27"/>
      <c r="G16" s="27"/>
      <c r="H16" s="27"/>
      <c r="I16" s="27"/>
      <c r="J16" s="42"/>
      <c r="K16" s="70">
        <f t="shared" si="0"/>
        <v>13</v>
      </c>
    </row>
    <row r="17" spans="1:11" x14ac:dyDescent="0.15">
      <c r="A17" s="66">
        <v>43839</v>
      </c>
      <c r="B17" s="53" t="s">
        <v>96</v>
      </c>
      <c r="C17" s="69" t="s">
        <v>10</v>
      </c>
      <c r="E17" s="27">
        <v>30</v>
      </c>
      <c r="F17" s="27"/>
      <c r="G17" s="27"/>
      <c r="H17" s="27"/>
      <c r="I17" s="27"/>
      <c r="J17" s="42"/>
      <c r="K17" s="70">
        <f t="shared" si="0"/>
        <v>30</v>
      </c>
    </row>
    <row r="18" spans="1:11" x14ac:dyDescent="0.15">
      <c r="A18" s="92">
        <v>43840</v>
      </c>
      <c r="B18" s="93" t="s">
        <v>97</v>
      </c>
      <c r="C18" s="69" t="s">
        <v>10</v>
      </c>
      <c r="D18" s="89"/>
      <c r="E18" s="94">
        <v>20</v>
      </c>
      <c r="F18" s="27"/>
      <c r="G18" s="27"/>
      <c r="H18" s="27"/>
      <c r="I18" s="27"/>
      <c r="J18" s="42"/>
      <c r="K18" s="70">
        <f t="shared" si="0"/>
        <v>20</v>
      </c>
    </row>
    <row r="19" spans="1:11" x14ac:dyDescent="0.15">
      <c r="A19" s="66">
        <v>43843</v>
      </c>
      <c r="B19" s="53" t="s">
        <v>98</v>
      </c>
      <c r="C19" s="69" t="s">
        <v>10</v>
      </c>
      <c r="E19" s="27">
        <v>72</v>
      </c>
      <c r="F19" s="27"/>
      <c r="G19" s="27"/>
      <c r="H19" s="27"/>
      <c r="I19" s="27"/>
      <c r="J19" s="42"/>
      <c r="K19" s="70">
        <f t="shared" si="0"/>
        <v>72</v>
      </c>
    </row>
    <row r="20" spans="1:11" x14ac:dyDescent="0.15">
      <c r="A20" s="66">
        <v>43843</v>
      </c>
      <c r="B20" s="53" t="s">
        <v>99</v>
      </c>
      <c r="C20" s="69" t="s">
        <v>10</v>
      </c>
      <c r="E20" s="27">
        <v>120</v>
      </c>
      <c r="F20" s="27"/>
      <c r="G20" s="27"/>
      <c r="H20" s="27"/>
      <c r="I20" s="27"/>
      <c r="J20" s="42"/>
      <c r="K20" s="70">
        <f t="shared" si="0"/>
        <v>120</v>
      </c>
    </row>
    <row r="21" spans="1:11" x14ac:dyDescent="0.15">
      <c r="A21" s="66">
        <v>43843</v>
      </c>
      <c r="B21" s="53" t="s">
        <v>100</v>
      </c>
      <c r="C21" s="69" t="s">
        <v>10</v>
      </c>
      <c r="E21" s="27">
        <v>24</v>
      </c>
      <c r="F21" s="27"/>
      <c r="G21" s="27"/>
      <c r="H21" s="27"/>
      <c r="I21" s="27"/>
      <c r="J21" s="42"/>
      <c r="K21" s="70">
        <f t="shared" si="0"/>
        <v>24</v>
      </c>
    </row>
    <row r="22" spans="1:11" x14ac:dyDescent="0.15">
      <c r="A22" s="66">
        <v>43847</v>
      </c>
      <c r="B22" s="53" t="s">
        <v>101</v>
      </c>
      <c r="C22" s="53" t="s">
        <v>77</v>
      </c>
      <c r="E22" s="27">
        <v>158.61000000000001</v>
      </c>
      <c r="F22" s="27"/>
      <c r="G22" s="27"/>
      <c r="H22" s="27"/>
      <c r="I22" s="27"/>
      <c r="J22" s="42"/>
      <c r="K22" s="70">
        <f t="shared" si="0"/>
        <v>158.61000000000001</v>
      </c>
    </row>
    <row r="23" spans="1:11" x14ac:dyDescent="0.15">
      <c r="A23" s="66">
        <v>43850</v>
      </c>
      <c r="B23" s="53" t="s">
        <v>102</v>
      </c>
      <c r="C23" s="69" t="s">
        <v>10</v>
      </c>
      <c r="E23" s="27">
        <v>175</v>
      </c>
      <c r="F23" s="27"/>
      <c r="G23" s="27"/>
      <c r="H23" s="27"/>
      <c r="I23" s="27"/>
      <c r="J23" s="42"/>
      <c r="K23" s="70">
        <f t="shared" si="0"/>
        <v>175</v>
      </c>
    </row>
    <row r="24" spans="1:11" x14ac:dyDescent="0.15">
      <c r="A24" s="66">
        <v>43850</v>
      </c>
      <c r="B24" s="53" t="s">
        <v>103</v>
      </c>
      <c r="C24" s="69" t="s">
        <v>10</v>
      </c>
      <c r="E24" s="27">
        <v>105</v>
      </c>
      <c r="F24" s="27"/>
      <c r="G24" s="27"/>
      <c r="H24" s="27"/>
      <c r="I24" s="27"/>
      <c r="J24" s="42"/>
      <c r="K24" s="70">
        <f t="shared" si="0"/>
        <v>105</v>
      </c>
    </row>
    <row r="25" spans="1:11" x14ac:dyDescent="0.15">
      <c r="A25" s="66">
        <v>43858</v>
      </c>
      <c r="B25" s="53" t="s">
        <v>104</v>
      </c>
      <c r="C25" s="69" t="s">
        <v>10</v>
      </c>
      <c r="E25" s="27">
        <v>500</v>
      </c>
      <c r="F25" s="27"/>
      <c r="G25" s="27"/>
      <c r="H25" s="27"/>
      <c r="I25" s="27"/>
      <c r="J25" s="42"/>
      <c r="K25" s="70">
        <f t="shared" si="0"/>
        <v>500</v>
      </c>
    </row>
    <row r="26" spans="1:11" x14ac:dyDescent="0.15">
      <c r="A26" s="66">
        <v>43861</v>
      </c>
      <c r="B26" s="53" t="s">
        <v>105</v>
      </c>
      <c r="C26" s="69" t="s">
        <v>10</v>
      </c>
      <c r="E26" s="27">
        <v>60</v>
      </c>
      <c r="F26" s="27"/>
      <c r="G26" s="27"/>
      <c r="H26" s="27"/>
      <c r="I26" s="27"/>
      <c r="J26" s="42"/>
      <c r="K26" s="70">
        <f t="shared" si="0"/>
        <v>60</v>
      </c>
    </row>
    <row r="27" spans="1:11" x14ac:dyDescent="0.15">
      <c r="A27" s="66">
        <v>43861</v>
      </c>
      <c r="B27" s="53" t="s">
        <v>106</v>
      </c>
      <c r="C27" s="53" t="s">
        <v>11</v>
      </c>
      <c r="E27" s="27">
        <v>934</v>
      </c>
      <c r="F27" s="27"/>
      <c r="G27" s="27"/>
      <c r="H27" s="27"/>
      <c r="I27" s="27"/>
      <c r="J27" s="42"/>
      <c r="K27" s="70">
        <f t="shared" si="0"/>
        <v>934</v>
      </c>
    </row>
    <row r="28" spans="1:11" x14ac:dyDescent="0.15">
      <c r="A28" s="66">
        <v>43861</v>
      </c>
      <c r="B28" s="53" t="s">
        <v>107</v>
      </c>
      <c r="C28" s="69" t="s">
        <v>10</v>
      </c>
      <c r="E28" s="27">
        <v>48</v>
      </c>
      <c r="F28" s="27"/>
      <c r="G28" s="27"/>
      <c r="H28" s="27"/>
      <c r="I28" s="27"/>
      <c r="J28" s="42"/>
      <c r="K28" s="70">
        <f t="shared" si="0"/>
        <v>48</v>
      </c>
    </row>
    <row r="29" spans="1:11" x14ac:dyDescent="0.15">
      <c r="A29" s="66">
        <v>43867</v>
      </c>
      <c r="B29" s="53" t="s">
        <v>108</v>
      </c>
      <c r="C29" s="69" t="s">
        <v>10</v>
      </c>
      <c r="E29" s="27">
        <v>11.5</v>
      </c>
      <c r="F29" s="27"/>
      <c r="G29" s="27"/>
      <c r="H29" s="27"/>
      <c r="I29" s="27"/>
      <c r="J29" s="42"/>
      <c r="K29" s="70">
        <f t="shared" si="0"/>
        <v>11.5</v>
      </c>
    </row>
    <row r="30" spans="1:11" x14ac:dyDescent="0.15">
      <c r="A30" s="66">
        <v>43867</v>
      </c>
      <c r="B30" s="53" t="s">
        <v>109</v>
      </c>
      <c r="C30" s="69" t="s">
        <v>10</v>
      </c>
      <c r="E30" s="27">
        <v>46</v>
      </c>
      <c r="F30" s="27"/>
      <c r="G30" s="27"/>
      <c r="H30" s="27"/>
      <c r="I30" s="27"/>
      <c r="J30" s="42"/>
      <c r="K30" s="70">
        <f t="shared" si="0"/>
        <v>46</v>
      </c>
    </row>
    <row r="31" spans="1:11" x14ac:dyDescent="0.15">
      <c r="A31" s="66">
        <v>43867</v>
      </c>
      <c r="B31" s="53" t="s">
        <v>110</v>
      </c>
      <c r="C31" s="69" t="s">
        <v>10</v>
      </c>
      <c r="E31" s="27">
        <v>80.5</v>
      </c>
      <c r="F31" s="27"/>
      <c r="G31" s="27"/>
      <c r="H31" s="27"/>
      <c r="I31" s="27"/>
      <c r="J31" s="42"/>
      <c r="K31" s="70">
        <f t="shared" si="0"/>
        <v>80.5</v>
      </c>
    </row>
    <row r="32" spans="1:11" x14ac:dyDescent="0.15">
      <c r="A32" s="66">
        <v>43867</v>
      </c>
      <c r="B32" s="53" t="s">
        <v>111</v>
      </c>
      <c r="C32" s="69" t="s">
        <v>10</v>
      </c>
      <c r="E32" s="27">
        <v>92</v>
      </c>
      <c r="F32" s="27"/>
      <c r="G32" s="27"/>
      <c r="H32" s="27"/>
      <c r="I32" s="27"/>
      <c r="J32" s="42"/>
      <c r="K32" s="70">
        <f t="shared" si="0"/>
        <v>92</v>
      </c>
    </row>
    <row r="33" spans="1:11" x14ac:dyDescent="0.15">
      <c r="A33" s="66">
        <v>43867</v>
      </c>
      <c r="B33" s="53" t="s">
        <v>112</v>
      </c>
      <c r="C33" s="69" t="s">
        <v>10</v>
      </c>
      <c r="E33" s="27">
        <v>92</v>
      </c>
      <c r="F33" s="27"/>
      <c r="G33" s="27"/>
      <c r="H33" s="27"/>
      <c r="I33" s="27"/>
      <c r="J33" s="42"/>
      <c r="K33" s="70">
        <f t="shared" si="0"/>
        <v>92</v>
      </c>
    </row>
    <row r="34" spans="1:11" x14ac:dyDescent="0.15">
      <c r="A34" s="66">
        <v>43867</v>
      </c>
      <c r="B34" s="53" t="s">
        <v>113</v>
      </c>
      <c r="C34" s="69" t="s">
        <v>10</v>
      </c>
      <c r="E34" s="27">
        <v>100</v>
      </c>
      <c r="F34" s="27"/>
      <c r="G34" s="27"/>
      <c r="H34" s="27"/>
      <c r="I34" s="27"/>
      <c r="J34" s="42"/>
      <c r="K34" s="70">
        <f t="shared" si="0"/>
        <v>100</v>
      </c>
    </row>
    <row r="35" spans="1:11" x14ac:dyDescent="0.15">
      <c r="A35" s="66">
        <v>43868</v>
      </c>
      <c r="B35" s="53" t="s">
        <v>114</v>
      </c>
      <c r="C35" s="69" t="s">
        <v>10</v>
      </c>
      <c r="E35" s="27">
        <v>69</v>
      </c>
      <c r="F35" s="27"/>
      <c r="G35" s="27"/>
      <c r="H35" s="27"/>
      <c r="I35" s="27"/>
      <c r="J35" s="42"/>
      <c r="K35" s="70">
        <f t="shared" si="0"/>
        <v>69</v>
      </c>
    </row>
    <row r="36" spans="1:11" x14ac:dyDescent="0.15">
      <c r="A36" s="66">
        <v>43872</v>
      </c>
      <c r="B36" s="53" t="s">
        <v>115</v>
      </c>
      <c r="C36" s="69" t="s">
        <v>10</v>
      </c>
      <c r="E36" s="27">
        <v>54</v>
      </c>
      <c r="F36" s="27"/>
      <c r="G36" s="27"/>
      <c r="H36" s="27"/>
      <c r="I36" s="27"/>
      <c r="J36" s="42"/>
      <c r="K36" s="70">
        <f t="shared" si="0"/>
        <v>54</v>
      </c>
    </row>
    <row r="37" spans="1:11" x14ac:dyDescent="0.15">
      <c r="A37" s="66">
        <v>43874</v>
      </c>
      <c r="B37" s="53" t="s">
        <v>116</v>
      </c>
      <c r="C37" s="69" t="s">
        <v>10</v>
      </c>
      <c r="E37" s="27">
        <v>23</v>
      </c>
      <c r="F37" s="27"/>
      <c r="G37" s="27"/>
      <c r="H37" s="27"/>
      <c r="I37" s="27"/>
      <c r="J37" s="42"/>
      <c r="K37" s="70">
        <f t="shared" si="0"/>
        <v>23</v>
      </c>
    </row>
    <row r="38" spans="1:11" x14ac:dyDescent="0.15">
      <c r="A38" s="66">
        <v>43874</v>
      </c>
      <c r="B38" s="53" t="s">
        <v>117</v>
      </c>
      <c r="C38" s="69" t="s">
        <v>10</v>
      </c>
      <c r="E38" s="27">
        <v>40</v>
      </c>
      <c r="F38" s="27"/>
      <c r="G38" s="27"/>
      <c r="H38" s="27"/>
      <c r="I38" s="27"/>
      <c r="J38" s="42"/>
      <c r="K38" s="70">
        <f t="shared" si="0"/>
        <v>40</v>
      </c>
    </row>
    <row r="39" spans="1:11" x14ac:dyDescent="0.15">
      <c r="A39" s="66">
        <v>43888</v>
      </c>
      <c r="B39" s="53" t="s">
        <v>118</v>
      </c>
      <c r="C39" s="69" t="s">
        <v>10</v>
      </c>
      <c r="E39" s="27">
        <v>23</v>
      </c>
      <c r="F39" s="27"/>
      <c r="G39" s="27"/>
      <c r="H39" s="27"/>
      <c r="I39" s="27"/>
      <c r="J39" s="42"/>
      <c r="K39" s="70">
        <f t="shared" si="0"/>
        <v>23</v>
      </c>
    </row>
    <row r="40" spans="1:11" x14ac:dyDescent="0.15">
      <c r="A40" s="66">
        <v>43888</v>
      </c>
      <c r="B40" s="53" t="s">
        <v>119</v>
      </c>
      <c r="C40" s="69" t="s">
        <v>10</v>
      </c>
      <c r="E40" s="27">
        <v>72</v>
      </c>
      <c r="F40" s="27"/>
      <c r="G40" s="27"/>
      <c r="H40" s="27"/>
      <c r="I40" s="27"/>
      <c r="J40" s="42"/>
      <c r="K40" s="70">
        <f t="shared" si="0"/>
        <v>72</v>
      </c>
    </row>
    <row r="41" spans="1:11" x14ac:dyDescent="0.15">
      <c r="A41" s="66">
        <v>43888</v>
      </c>
      <c r="B41" s="53" t="s">
        <v>120</v>
      </c>
      <c r="C41" s="53" t="s">
        <v>11</v>
      </c>
      <c r="E41" s="27">
        <v>115</v>
      </c>
      <c r="F41" s="27"/>
      <c r="G41" s="27"/>
      <c r="H41" s="27"/>
      <c r="I41" s="27"/>
      <c r="J41" s="42"/>
      <c r="K41" s="70">
        <f t="shared" si="0"/>
        <v>115</v>
      </c>
    </row>
    <row r="42" spans="1:11" x14ac:dyDescent="0.15">
      <c r="A42" s="66">
        <v>43888</v>
      </c>
      <c r="B42" s="53" t="s">
        <v>121</v>
      </c>
      <c r="C42" s="53" t="s">
        <v>11</v>
      </c>
      <c r="E42" s="27">
        <v>395.9</v>
      </c>
      <c r="F42" s="27"/>
      <c r="G42" s="27"/>
      <c r="H42" s="27"/>
      <c r="I42" s="27"/>
      <c r="J42" s="42"/>
      <c r="K42" s="70">
        <f t="shared" si="0"/>
        <v>395.9</v>
      </c>
    </row>
    <row r="43" spans="1:11" x14ac:dyDescent="0.15">
      <c r="A43" s="66">
        <v>43892</v>
      </c>
      <c r="B43" s="53" t="s">
        <v>122</v>
      </c>
      <c r="C43" s="69" t="s">
        <v>10</v>
      </c>
      <c r="E43" s="27">
        <v>40.5</v>
      </c>
      <c r="F43" s="27"/>
      <c r="G43" s="27"/>
      <c r="H43" s="27"/>
      <c r="I43" s="27"/>
      <c r="J43" s="42"/>
      <c r="K43" s="70">
        <f t="shared" si="0"/>
        <v>40.5</v>
      </c>
    </row>
    <row r="44" spans="1:11" x14ac:dyDescent="0.15">
      <c r="A44" s="66">
        <v>43893</v>
      </c>
      <c r="B44" s="53" t="s">
        <v>123</v>
      </c>
      <c r="C44" s="69" t="s">
        <v>10</v>
      </c>
      <c r="E44" s="27">
        <v>92</v>
      </c>
      <c r="F44" s="27"/>
      <c r="G44" s="27"/>
      <c r="H44" s="27"/>
      <c r="I44" s="27"/>
      <c r="J44" s="42"/>
      <c r="K44" s="70">
        <f t="shared" si="0"/>
        <v>92</v>
      </c>
    </row>
    <row r="45" spans="1:11" x14ac:dyDescent="0.15">
      <c r="A45" s="66">
        <v>43893</v>
      </c>
      <c r="B45" s="53" t="s">
        <v>124</v>
      </c>
      <c r="C45" s="69" t="s">
        <v>10</v>
      </c>
      <c r="E45" s="27">
        <v>100</v>
      </c>
      <c r="F45" s="27"/>
      <c r="G45" s="27"/>
      <c r="H45" s="27"/>
      <c r="I45" s="27"/>
      <c r="J45" s="42"/>
      <c r="K45" s="70">
        <f t="shared" si="0"/>
        <v>100</v>
      </c>
    </row>
    <row r="46" spans="1:11" x14ac:dyDescent="0.15">
      <c r="A46" s="66">
        <v>43896</v>
      </c>
      <c r="B46" s="53" t="s">
        <v>125</v>
      </c>
      <c r="C46" s="69" t="s">
        <v>10</v>
      </c>
      <c r="E46" s="27">
        <v>23</v>
      </c>
      <c r="F46" s="27"/>
      <c r="G46" s="27"/>
      <c r="H46" s="27"/>
      <c r="I46" s="27"/>
      <c r="J46" s="42"/>
      <c r="K46" s="70">
        <f t="shared" si="0"/>
        <v>23</v>
      </c>
    </row>
    <row r="47" spans="1:11" x14ac:dyDescent="0.15">
      <c r="A47" s="66">
        <v>43896</v>
      </c>
      <c r="B47" s="53" t="s">
        <v>126</v>
      </c>
      <c r="C47" s="69" t="s">
        <v>10</v>
      </c>
      <c r="E47" s="27">
        <v>34.5</v>
      </c>
      <c r="F47" s="27"/>
      <c r="G47" s="27"/>
      <c r="H47" s="27"/>
      <c r="I47" s="27"/>
      <c r="J47" s="42"/>
      <c r="K47" s="70">
        <f t="shared" si="0"/>
        <v>34.5</v>
      </c>
    </row>
    <row r="48" spans="1:11" x14ac:dyDescent="0.15">
      <c r="A48" s="66">
        <v>43896</v>
      </c>
      <c r="B48" s="53" t="s">
        <v>127</v>
      </c>
      <c r="C48" s="69" t="s">
        <v>10</v>
      </c>
      <c r="E48" s="27">
        <v>92</v>
      </c>
      <c r="F48" s="27"/>
      <c r="G48" s="27"/>
      <c r="H48" s="27"/>
      <c r="I48" s="27"/>
      <c r="J48" s="42"/>
      <c r="K48" s="70">
        <f t="shared" si="0"/>
        <v>92</v>
      </c>
    </row>
    <row r="49" spans="1:11" x14ac:dyDescent="0.15">
      <c r="A49" s="66">
        <v>43896</v>
      </c>
      <c r="B49" s="53" t="s">
        <v>128</v>
      </c>
      <c r="C49" s="69" t="s">
        <v>10</v>
      </c>
      <c r="E49" s="27">
        <v>92</v>
      </c>
      <c r="F49" s="27"/>
      <c r="G49" s="27"/>
      <c r="H49" s="27"/>
      <c r="I49" s="27"/>
      <c r="J49" s="42"/>
      <c r="K49" s="70">
        <f t="shared" si="0"/>
        <v>92</v>
      </c>
    </row>
    <row r="50" spans="1:11" x14ac:dyDescent="0.15">
      <c r="A50" s="66">
        <v>43896</v>
      </c>
      <c r="B50" s="53" t="s">
        <v>129</v>
      </c>
      <c r="C50" s="69" t="s">
        <v>10</v>
      </c>
      <c r="E50" s="27">
        <v>70</v>
      </c>
      <c r="F50" s="27"/>
      <c r="G50" s="27"/>
      <c r="H50" s="27"/>
      <c r="I50" s="27"/>
      <c r="J50" s="42"/>
      <c r="K50" s="70">
        <f t="shared" si="0"/>
        <v>70</v>
      </c>
    </row>
    <row r="51" spans="1:11" x14ac:dyDescent="0.15">
      <c r="A51" s="66">
        <v>43899</v>
      </c>
      <c r="B51" s="53" t="s">
        <v>130</v>
      </c>
      <c r="C51" s="69" t="s">
        <v>10</v>
      </c>
      <c r="E51" s="27">
        <v>46</v>
      </c>
      <c r="F51" s="27"/>
      <c r="G51" s="27"/>
      <c r="H51" s="27"/>
      <c r="I51" s="27"/>
      <c r="J51" s="42"/>
      <c r="K51" s="70">
        <f t="shared" si="0"/>
        <v>46</v>
      </c>
    </row>
    <row r="52" spans="1:11" x14ac:dyDescent="0.15">
      <c r="A52" s="66">
        <v>43899</v>
      </c>
      <c r="B52" s="53" t="s">
        <v>131</v>
      </c>
      <c r="C52" s="53" t="s">
        <v>77</v>
      </c>
      <c r="E52" s="27">
        <v>24</v>
      </c>
      <c r="F52" s="27"/>
      <c r="G52" s="27"/>
      <c r="H52" s="27"/>
      <c r="I52" s="27"/>
      <c r="J52" s="42"/>
      <c r="K52" s="70">
        <f t="shared" si="0"/>
        <v>24</v>
      </c>
    </row>
    <row r="53" spans="1:11" x14ac:dyDescent="0.15">
      <c r="A53" s="66">
        <v>43899</v>
      </c>
      <c r="B53" s="53" t="s">
        <v>132</v>
      </c>
      <c r="C53" s="69" t="s">
        <v>10</v>
      </c>
      <c r="E53" s="27">
        <v>93</v>
      </c>
      <c r="F53" s="27"/>
      <c r="G53" s="27"/>
      <c r="H53" s="27"/>
      <c r="I53" s="27"/>
      <c r="J53" s="42"/>
      <c r="K53" s="70">
        <f t="shared" si="0"/>
        <v>93</v>
      </c>
    </row>
    <row r="54" spans="1:11" x14ac:dyDescent="0.15">
      <c r="A54" s="66">
        <v>43910</v>
      </c>
      <c r="B54" s="53" t="s">
        <v>133</v>
      </c>
      <c r="C54" s="69" t="s">
        <v>10</v>
      </c>
      <c r="E54" s="27">
        <v>72</v>
      </c>
      <c r="F54" s="27"/>
      <c r="G54" s="27"/>
      <c r="H54" s="27"/>
      <c r="I54" s="27"/>
      <c r="J54" s="42"/>
      <c r="K54" s="70">
        <f t="shared" si="0"/>
        <v>72</v>
      </c>
    </row>
    <row r="55" spans="1:11" x14ac:dyDescent="0.15">
      <c r="A55" s="66">
        <v>43910</v>
      </c>
      <c r="B55" s="53" t="s">
        <v>134</v>
      </c>
      <c r="C55" s="69" t="s">
        <v>10</v>
      </c>
      <c r="E55" s="27">
        <v>54.5</v>
      </c>
      <c r="F55" s="27"/>
      <c r="G55" s="27"/>
      <c r="H55" s="27"/>
      <c r="I55" s="27"/>
      <c r="J55" s="42"/>
      <c r="K55" s="70">
        <f t="shared" si="0"/>
        <v>54.5</v>
      </c>
    </row>
    <row r="56" spans="1:11" x14ac:dyDescent="0.15">
      <c r="A56" s="66">
        <v>43922</v>
      </c>
      <c r="B56" s="53" t="s">
        <v>135</v>
      </c>
      <c r="C56" s="69" t="s">
        <v>10</v>
      </c>
      <c r="E56" s="27">
        <v>40.5</v>
      </c>
      <c r="F56" s="27"/>
      <c r="G56" s="27"/>
      <c r="H56" s="27"/>
      <c r="I56" s="27"/>
      <c r="J56" s="42"/>
      <c r="K56" s="70">
        <f t="shared" si="0"/>
        <v>40.5</v>
      </c>
    </row>
    <row r="57" spans="1:11" x14ac:dyDescent="0.15">
      <c r="A57" s="66">
        <v>43924</v>
      </c>
      <c r="B57" s="53" t="s">
        <v>136</v>
      </c>
      <c r="C57" s="69" t="s">
        <v>10</v>
      </c>
      <c r="E57" s="27">
        <v>48</v>
      </c>
      <c r="F57" s="27"/>
      <c r="G57" s="27"/>
      <c r="H57" s="27"/>
      <c r="I57" s="27"/>
      <c r="J57" s="42"/>
      <c r="K57" s="70">
        <f t="shared" si="0"/>
        <v>48</v>
      </c>
    </row>
    <row r="58" spans="1:11" x14ac:dyDescent="0.15">
      <c r="A58" s="66">
        <v>43927</v>
      </c>
      <c r="B58" s="53" t="s">
        <v>137</v>
      </c>
      <c r="C58" s="69" t="s">
        <v>10</v>
      </c>
      <c r="E58" s="27">
        <v>25</v>
      </c>
      <c r="F58" s="27"/>
      <c r="G58" s="27"/>
      <c r="H58" s="27"/>
      <c r="I58" s="27"/>
      <c r="J58" s="42"/>
      <c r="K58" s="70">
        <f t="shared" si="0"/>
        <v>25</v>
      </c>
    </row>
    <row r="59" spans="1:11" x14ac:dyDescent="0.15">
      <c r="A59" s="66">
        <v>43927</v>
      </c>
      <c r="B59" s="53" t="s">
        <v>137</v>
      </c>
      <c r="C59" s="69" t="s">
        <v>10</v>
      </c>
      <c r="E59" s="27">
        <v>25</v>
      </c>
      <c r="F59" s="27"/>
      <c r="G59" s="27"/>
      <c r="H59" s="27"/>
      <c r="I59" s="27"/>
      <c r="J59" s="42"/>
      <c r="K59" s="70">
        <f t="shared" si="0"/>
        <v>25</v>
      </c>
    </row>
    <row r="60" spans="1:11" x14ac:dyDescent="0.15">
      <c r="A60" s="66">
        <v>43927</v>
      </c>
      <c r="B60" s="53" t="s">
        <v>130</v>
      </c>
      <c r="C60" s="69" t="s">
        <v>10</v>
      </c>
      <c r="E60" s="27">
        <v>46</v>
      </c>
      <c r="F60" s="27"/>
      <c r="G60" s="27"/>
      <c r="H60" s="27"/>
      <c r="I60" s="27"/>
      <c r="J60" s="42"/>
      <c r="K60" s="70">
        <f t="shared" si="0"/>
        <v>46</v>
      </c>
    </row>
    <row r="61" spans="1:11" x14ac:dyDescent="0.15">
      <c r="A61" s="66">
        <v>43928</v>
      </c>
      <c r="B61" s="53" t="s">
        <v>138</v>
      </c>
      <c r="C61" s="69" t="s">
        <v>10</v>
      </c>
      <c r="E61" s="27">
        <v>34.5</v>
      </c>
      <c r="F61" s="27"/>
      <c r="G61" s="27"/>
      <c r="H61" s="27"/>
      <c r="I61" s="27"/>
      <c r="J61" s="42"/>
      <c r="K61" s="70">
        <f t="shared" si="0"/>
        <v>34.5</v>
      </c>
    </row>
    <row r="62" spans="1:11" x14ac:dyDescent="0.15">
      <c r="A62" s="66">
        <v>43928</v>
      </c>
      <c r="B62" s="53" t="s">
        <v>139</v>
      </c>
      <c r="C62" s="69" t="s">
        <v>10</v>
      </c>
      <c r="E62" s="27">
        <v>46</v>
      </c>
      <c r="F62" s="27"/>
      <c r="G62" s="27"/>
      <c r="H62" s="27"/>
      <c r="I62" s="27"/>
      <c r="J62" s="42"/>
      <c r="K62" s="70">
        <f t="shared" si="0"/>
        <v>46</v>
      </c>
    </row>
    <row r="63" spans="1:11" x14ac:dyDescent="0.15">
      <c r="A63" s="66">
        <v>43928</v>
      </c>
      <c r="B63" s="53" t="s">
        <v>140</v>
      </c>
      <c r="C63" s="69" t="s">
        <v>10</v>
      </c>
      <c r="E63" s="27">
        <v>46</v>
      </c>
      <c r="F63" s="27"/>
      <c r="G63" s="27"/>
      <c r="H63" s="27"/>
      <c r="I63" s="27"/>
      <c r="J63" s="42"/>
      <c r="K63" s="70">
        <f t="shared" si="0"/>
        <v>46</v>
      </c>
    </row>
    <row r="64" spans="1:11" x14ac:dyDescent="0.15">
      <c r="A64" s="66">
        <v>43930</v>
      </c>
      <c r="B64" s="53" t="s">
        <v>141</v>
      </c>
      <c r="C64" s="69" t="s">
        <v>10</v>
      </c>
      <c r="E64" s="27">
        <v>46</v>
      </c>
      <c r="F64" s="27"/>
      <c r="G64" s="27"/>
      <c r="H64" s="27"/>
      <c r="I64" s="27"/>
      <c r="J64" s="42"/>
      <c r="K64" s="70">
        <f t="shared" si="0"/>
        <v>46</v>
      </c>
    </row>
    <row r="65" spans="1:11" x14ac:dyDescent="0.15">
      <c r="A65" s="66">
        <v>43938</v>
      </c>
      <c r="B65" s="53" t="s">
        <v>145</v>
      </c>
      <c r="C65" s="53" t="s">
        <v>79</v>
      </c>
      <c r="E65" s="27">
        <v>10000</v>
      </c>
      <c r="F65" s="27"/>
      <c r="G65" s="27"/>
      <c r="H65" s="27"/>
      <c r="I65" s="27"/>
      <c r="J65" s="42"/>
      <c r="K65" s="70">
        <f t="shared" si="0"/>
        <v>10000</v>
      </c>
    </row>
    <row r="66" spans="1:11" x14ac:dyDescent="0.15">
      <c r="A66" s="66">
        <v>43992</v>
      </c>
      <c r="B66" s="53" t="s">
        <v>142</v>
      </c>
      <c r="C66" s="69" t="s">
        <v>10</v>
      </c>
      <c r="E66" s="27">
        <v>20</v>
      </c>
      <c r="F66" s="27"/>
      <c r="G66" s="27"/>
      <c r="H66" s="27"/>
      <c r="I66" s="27"/>
      <c r="J66" s="42"/>
      <c r="K66" s="70">
        <f t="shared" si="0"/>
        <v>20</v>
      </c>
    </row>
    <row r="67" spans="1:11" x14ac:dyDescent="0.15">
      <c r="A67" s="66">
        <v>43992</v>
      </c>
      <c r="B67" s="53" t="s">
        <v>143</v>
      </c>
      <c r="C67" s="69" t="s">
        <v>10</v>
      </c>
      <c r="E67" s="27">
        <v>40</v>
      </c>
      <c r="F67" s="27"/>
      <c r="G67" s="27"/>
      <c r="H67" s="27"/>
      <c r="I67" s="27"/>
      <c r="J67" s="42"/>
      <c r="K67" s="70">
        <f t="shared" si="0"/>
        <v>40</v>
      </c>
    </row>
    <row r="68" spans="1:11" x14ac:dyDescent="0.15">
      <c r="A68" s="66">
        <v>44042</v>
      </c>
      <c r="B68" s="53" t="s">
        <v>144</v>
      </c>
      <c r="C68" s="69" t="s">
        <v>10</v>
      </c>
      <c r="E68" s="27">
        <v>116</v>
      </c>
      <c r="F68" s="27"/>
      <c r="G68" s="27"/>
      <c r="H68" s="27"/>
      <c r="I68" s="27"/>
      <c r="J68" s="42"/>
      <c r="K68" s="70">
        <f t="shared" si="0"/>
        <v>116</v>
      </c>
    </row>
    <row r="69" spans="1:11" x14ac:dyDescent="0.15">
      <c r="A69" s="66">
        <v>44109</v>
      </c>
      <c r="B69" s="53" t="s">
        <v>141</v>
      </c>
      <c r="C69" s="69" t="s">
        <v>10</v>
      </c>
      <c r="E69" s="27">
        <v>46</v>
      </c>
      <c r="F69" s="27"/>
      <c r="G69" s="27"/>
      <c r="H69" s="27"/>
      <c r="I69" s="27"/>
      <c r="J69" s="42"/>
      <c r="K69" s="70">
        <f t="shared" si="0"/>
        <v>46</v>
      </c>
    </row>
    <row r="70" spans="1:11" x14ac:dyDescent="0.15">
      <c r="A70" s="66">
        <v>44140</v>
      </c>
      <c r="B70" s="53" t="s">
        <v>200</v>
      </c>
      <c r="C70" s="69" t="s">
        <v>10</v>
      </c>
      <c r="E70" s="27">
        <v>92</v>
      </c>
      <c r="F70" s="27"/>
      <c r="G70" s="27"/>
      <c r="H70" s="27"/>
      <c r="I70" s="27"/>
      <c r="J70" s="42"/>
      <c r="K70" s="70">
        <f t="shared" si="0"/>
        <v>92</v>
      </c>
    </row>
    <row r="71" spans="1:11" x14ac:dyDescent="0.15">
      <c r="A71" s="66">
        <v>44150</v>
      </c>
      <c r="B71" s="53" t="s">
        <v>201</v>
      </c>
      <c r="C71" s="69" t="s">
        <v>10</v>
      </c>
      <c r="E71" s="27">
        <v>115</v>
      </c>
      <c r="F71" s="27"/>
      <c r="G71" s="27"/>
      <c r="H71" s="27"/>
      <c r="I71" s="27"/>
      <c r="J71" s="42"/>
      <c r="K71" s="70">
        <f t="shared" si="0"/>
        <v>115</v>
      </c>
    </row>
    <row r="72" spans="1:11" x14ac:dyDescent="0.15">
      <c r="A72" s="66">
        <v>44140</v>
      </c>
      <c r="B72" s="53" t="s">
        <v>141</v>
      </c>
      <c r="C72" s="69" t="s">
        <v>10</v>
      </c>
      <c r="E72" s="27">
        <v>138</v>
      </c>
      <c r="F72" s="27"/>
      <c r="G72" s="27"/>
      <c r="H72" s="27"/>
      <c r="I72" s="27"/>
      <c r="J72" s="42"/>
      <c r="K72" s="70">
        <f t="shared" si="0"/>
        <v>138</v>
      </c>
    </row>
    <row r="73" spans="1:11" x14ac:dyDescent="0.15">
      <c r="A73" s="66">
        <v>44142</v>
      </c>
      <c r="B73" s="53" t="s">
        <v>202</v>
      </c>
      <c r="C73" s="69" t="s">
        <v>10</v>
      </c>
      <c r="E73" s="27">
        <v>67.5</v>
      </c>
      <c r="F73" s="27"/>
      <c r="G73" s="27"/>
      <c r="H73" s="27"/>
      <c r="I73" s="27"/>
      <c r="J73" s="42"/>
      <c r="K73" s="70">
        <f t="shared" si="0"/>
        <v>67.5</v>
      </c>
    </row>
    <row r="74" spans="1:11" x14ac:dyDescent="0.15">
      <c r="A74" s="66">
        <v>44143</v>
      </c>
      <c r="B74" s="53" t="s">
        <v>203</v>
      </c>
      <c r="C74" s="69" t="s">
        <v>10</v>
      </c>
      <c r="E74" s="27">
        <v>50</v>
      </c>
      <c r="F74" s="27"/>
      <c r="G74" s="27"/>
      <c r="H74" s="27"/>
      <c r="I74" s="27"/>
      <c r="J74" s="42"/>
      <c r="K74" s="70">
        <f t="shared" si="0"/>
        <v>50</v>
      </c>
    </row>
    <row r="75" spans="1:11" x14ac:dyDescent="0.15">
      <c r="A75" s="66">
        <v>44162</v>
      </c>
      <c r="B75" s="53" t="s">
        <v>145</v>
      </c>
      <c r="C75" s="53" t="s">
        <v>79</v>
      </c>
      <c r="E75" s="27">
        <v>1334</v>
      </c>
      <c r="F75" s="27"/>
      <c r="G75" s="27"/>
      <c r="H75" s="27"/>
      <c r="I75" s="27"/>
      <c r="J75" s="42"/>
      <c r="K75" s="70">
        <f t="shared" si="0"/>
        <v>1334</v>
      </c>
    </row>
    <row r="76" spans="1:11" x14ac:dyDescent="0.15">
      <c r="A76" s="66">
        <v>44186</v>
      </c>
      <c r="B76" s="53" t="s">
        <v>145</v>
      </c>
      <c r="C76" s="53" t="s">
        <v>79</v>
      </c>
      <c r="E76" s="27">
        <v>567.07000000000005</v>
      </c>
      <c r="F76" s="27"/>
      <c r="G76" s="27"/>
      <c r="H76" s="27"/>
      <c r="I76" s="27"/>
      <c r="J76" s="42"/>
      <c r="K76" s="70">
        <f t="shared" si="0"/>
        <v>567.07000000000005</v>
      </c>
    </row>
    <row r="77" spans="1:11" x14ac:dyDescent="0.15">
      <c r="A77" s="66">
        <v>44188</v>
      </c>
      <c r="B77" s="88" t="s">
        <v>198</v>
      </c>
      <c r="C77" s="53" t="s">
        <v>77</v>
      </c>
      <c r="E77" s="27">
        <v>500</v>
      </c>
      <c r="F77" s="27"/>
      <c r="G77" s="27"/>
      <c r="H77" s="27"/>
      <c r="I77" s="27"/>
      <c r="J77" s="42"/>
      <c r="K77" s="70">
        <f t="shared" si="0"/>
        <v>500</v>
      </c>
    </row>
    <row r="78" spans="1:11" x14ac:dyDescent="0.15">
      <c r="A78" s="66">
        <v>44174</v>
      </c>
      <c r="B78" s="88" t="s">
        <v>199</v>
      </c>
      <c r="C78" s="53" t="s">
        <v>77</v>
      </c>
      <c r="E78" s="27">
        <v>23.76</v>
      </c>
      <c r="F78" s="27"/>
      <c r="G78" s="27"/>
      <c r="H78" s="27"/>
      <c r="I78" s="27"/>
      <c r="J78" s="42"/>
      <c r="K78" s="70">
        <f t="shared" si="0"/>
        <v>23.76</v>
      </c>
    </row>
    <row r="79" spans="1:11" x14ac:dyDescent="0.15">
      <c r="A79" s="66"/>
      <c r="B79" s="88"/>
      <c r="C79" s="53"/>
      <c r="E79" s="27"/>
      <c r="F79" s="27"/>
      <c r="G79" s="27"/>
      <c r="H79" s="27"/>
      <c r="I79" s="27"/>
      <c r="J79" s="42"/>
      <c r="K79" s="70"/>
    </row>
    <row r="80" spans="1:11" x14ac:dyDescent="0.15">
      <c r="A80" s="66"/>
      <c r="B80" s="88"/>
      <c r="C80" s="53"/>
      <c r="E80" s="27">
        <f>SUM(E10:E79)</f>
        <v>18153.34</v>
      </c>
      <c r="F80" s="27"/>
      <c r="G80" s="27"/>
      <c r="H80" s="27"/>
      <c r="I80" s="27"/>
      <c r="J80" s="42"/>
      <c r="K80" s="70">
        <f>SUM(K10:K79)</f>
        <v>18153.34</v>
      </c>
    </row>
    <row r="81" spans="1:11" x14ac:dyDescent="0.15">
      <c r="A81" s="66"/>
      <c r="B81" s="88"/>
      <c r="C81" s="53"/>
      <c r="E81" s="27"/>
      <c r="F81" s="27"/>
      <c r="G81" s="27"/>
      <c r="H81" s="27"/>
      <c r="I81" s="27"/>
      <c r="J81" s="42"/>
      <c r="K81" s="70"/>
    </row>
    <row r="82" spans="1:11" x14ac:dyDescent="0.15">
      <c r="A82" s="62" t="s">
        <v>10</v>
      </c>
      <c r="B82" s="42" t="s">
        <v>20</v>
      </c>
      <c r="C82" s="42"/>
      <c r="E82" s="27"/>
      <c r="F82" s="27"/>
      <c r="G82" s="27"/>
      <c r="H82" s="27"/>
      <c r="I82" s="27"/>
      <c r="J82" s="42"/>
      <c r="K82" s="70"/>
    </row>
    <row r="83" spans="1:11" x14ac:dyDescent="0.15">
      <c r="A83" s="62" t="s">
        <v>11</v>
      </c>
      <c r="B83" s="42" t="s">
        <v>61</v>
      </c>
      <c r="C83" s="42"/>
      <c r="E83" s="27"/>
      <c r="F83" s="27"/>
      <c r="G83" s="27"/>
      <c r="H83" s="27"/>
      <c r="I83" s="27"/>
      <c r="J83" s="42"/>
      <c r="K83" s="70"/>
    </row>
    <row r="84" spans="1:11" x14ac:dyDescent="0.15">
      <c r="A84" s="62" t="s">
        <v>72</v>
      </c>
      <c r="B84" s="71" t="s">
        <v>32</v>
      </c>
      <c r="C84" s="71"/>
      <c r="E84" s="27"/>
      <c r="F84" s="27"/>
      <c r="G84" s="27"/>
      <c r="H84" s="27"/>
      <c r="I84" s="27"/>
      <c r="J84" s="42"/>
      <c r="K84" s="27"/>
    </row>
    <row r="85" spans="1:11" x14ac:dyDescent="0.15">
      <c r="A85" s="62" t="s">
        <v>84</v>
      </c>
      <c r="B85" s="71" t="s">
        <v>85</v>
      </c>
      <c r="C85" s="71"/>
      <c r="E85" s="27"/>
      <c r="F85" s="27"/>
    </row>
    <row r="86" spans="1:11" x14ac:dyDescent="0.15">
      <c r="A86" s="62" t="s">
        <v>73</v>
      </c>
      <c r="B86" s="42" t="s">
        <v>19</v>
      </c>
      <c r="C86" s="42"/>
    </row>
    <row r="87" spans="1:11" x14ac:dyDescent="0.15">
      <c r="A87" s="62" t="s">
        <v>58</v>
      </c>
      <c r="B87" s="42" t="s">
        <v>22</v>
      </c>
      <c r="C87" s="42"/>
    </row>
    <row r="88" spans="1:11" x14ac:dyDescent="0.15">
      <c r="A88" s="62" t="s">
        <v>78</v>
      </c>
      <c r="B88" s="42" t="s">
        <v>18</v>
      </c>
      <c r="C88" s="42"/>
    </row>
    <row r="89" spans="1:11" x14ac:dyDescent="0.15">
      <c r="A89" s="62" t="s">
        <v>79</v>
      </c>
      <c r="B89" s="42" t="s">
        <v>51</v>
      </c>
      <c r="C89" s="42"/>
    </row>
    <row r="90" spans="1:11" x14ac:dyDescent="0.15">
      <c r="A90" s="62" t="s">
        <v>77</v>
      </c>
      <c r="B90" s="42" t="s">
        <v>21</v>
      </c>
      <c r="C90" s="42"/>
    </row>
  </sheetData>
  <mergeCells count="2">
    <mergeCell ref="G7:I7"/>
    <mergeCell ref="A1:L1"/>
  </mergeCells>
  <phoneticPr fontId="0" type="noConversion"/>
  <printOptions horizontalCentered="1"/>
  <pageMargins left="0" right="0" top="0.55000000000000004" bottom="0.59" header="0.47" footer="0.47"/>
  <pageSetup paperSize="9" scale="80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179"/>
  <sheetViews>
    <sheetView topLeftCell="B74" zoomScale="125" zoomScaleNormal="125" zoomScalePageLayoutView="125" workbookViewId="0">
      <selection activeCell="I2" sqref="I1:I1048576"/>
    </sheetView>
  </sheetViews>
  <sheetFormatPr defaultColWidth="8.76171875" defaultRowHeight="12.75" x14ac:dyDescent="0.15"/>
  <cols>
    <col min="1" max="1" width="14.5625" style="62" customWidth="1"/>
    <col min="2" max="2" width="57.71484375" style="42" customWidth="1"/>
    <col min="3" max="3" width="8.4921875" style="54" customWidth="1"/>
    <col min="4" max="4" width="4.44921875" style="77" customWidth="1"/>
    <col min="5" max="5" width="11.59375" style="42" customWidth="1"/>
    <col min="6" max="6" width="10.78515625" style="42" customWidth="1"/>
    <col min="7" max="7" width="3.7734375" style="42" customWidth="1"/>
    <col min="8" max="8" width="10.78515625" style="42" customWidth="1"/>
    <col min="9" max="9" width="12" style="42" customWidth="1"/>
    <col min="10" max="10" width="2.2890625" style="42" customWidth="1"/>
    <col min="11" max="11" width="2.96484375" style="42" customWidth="1"/>
    <col min="12" max="12" width="43.015625" style="42" customWidth="1"/>
    <col min="13" max="16384" width="8.76171875" style="42"/>
  </cols>
  <sheetData>
    <row r="1" spans="1:14" ht="18" x14ac:dyDescent="0.15">
      <c r="A1" s="129" t="s">
        <v>87</v>
      </c>
      <c r="B1" s="129"/>
      <c r="C1" s="129"/>
      <c r="D1" s="129"/>
      <c r="E1" s="129"/>
      <c r="F1" s="129"/>
      <c r="G1" s="129"/>
      <c r="H1" s="129"/>
      <c r="I1" s="129"/>
      <c r="J1" s="59"/>
      <c r="K1" s="55"/>
    </row>
    <row r="2" spans="1:14" ht="9" customHeight="1" x14ac:dyDescent="0.2">
      <c r="A2" s="57"/>
      <c r="B2" s="55"/>
      <c r="C2" s="62"/>
      <c r="D2" s="74"/>
      <c r="E2" s="57"/>
      <c r="F2" s="57"/>
      <c r="G2" s="57"/>
      <c r="H2" s="57"/>
      <c r="I2" s="55"/>
    </row>
    <row r="3" spans="1:14" ht="18" customHeight="1" x14ac:dyDescent="0.15">
      <c r="A3" s="130" t="s">
        <v>88</v>
      </c>
      <c r="B3" s="130"/>
      <c r="C3" s="130"/>
      <c r="D3" s="130"/>
      <c r="E3" s="130"/>
      <c r="F3" s="130"/>
      <c r="G3" s="130"/>
      <c r="H3" s="130"/>
      <c r="I3" s="130"/>
      <c r="J3" s="59"/>
      <c r="K3" s="59"/>
    </row>
    <row r="4" spans="1:14" ht="9" customHeight="1" x14ac:dyDescent="0.15">
      <c r="A4" s="75"/>
      <c r="B4" s="75"/>
      <c r="C4" s="75"/>
      <c r="D4" s="76"/>
      <c r="E4" s="75"/>
      <c r="F4" s="75"/>
      <c r="G4" s="75"/>
      <c r="H4" s="75"/>
      <c r="I4" s="75"/>
      <c r="J4" s="55"/>
      <c r="K4" s="55"/>
    </row>
    <row r="5" spans="1:14" ht="18" x14ac:dyDescent="0.15">
      <c r="A5" s="129" t="s">
        <v>12</v>
      </c>
      <c r="B5" s="129"/>
      <c r="C5" s="129"/>
      <c r="D5" s="129"/>
      <c r="E5" s="129"/>
      <c r="F5" s="129"/>
      <c r="G5" s="129"/>
      <c r="H5" s="129"/>
      <c r="I5" s="129"/>
    </row>
    <row r="6" spans="1:14" ht="18" x14ac:dyDescent="0.2">
      <c r="A6" s="74"/>
      <c r="B6" s="57"/>
      <c r="C6" s="72"/>
      <c r="D6" s="74"/>
      <c r="E6" s="57"/>
      <c r="F6" s="57"/>
      <c r="G6" s="57"/>
      <c r="H6" s="57"/>
    </row>
    <row r="7" spans="1:14" x14ac:dyDescent="0.15">
      <c r="A7" s="62" t="s">
        <v>6</v>
      </c>
      <c r="B7" s="62" t="s">
        <v>2</v>
      </c>
      <c r="E7" s="72" t="s">
        <v>0</v>
      </c>
      <c r="F7" s="128" t="s">
        <v>1</v>
      </c>
      <c r="G7" s="128"/>
      <c r="H7" s="128"/>
      <c r="I7" s="72" t="s">
        <v>14</v>
      </c>
    </row>
    <row r="8" spans="1:14" x14ac:dyDescent="0.15">
      <c r="E8" s="65" t="s">
        <v>4</v>
      </c>
      <c r="F8" s="65" t="s">
        <v>5</v>
      </c>
      <c r="G8" s="65"/>
      <c r="H8" s="54" t="s">
        <v>66</v>
      </c>
      <c r="I8" s="68" t="s">
        <v>15</v>
      </c>
    </row>
    <row r="9" spans="1:14" x14ac:dyDescent="0.15">
      <c r="A9" s="78"/>
      <c r="C9" s="79" t="s">
        <v>31</v>
      </c>
      <c r="D9" s="79" t="s">
        <v>30</v>
      </c>
      <c r="E9" s="67" t="s">
        <v>9</v>
      </c>
      <c r="F9" s="67" t="s">
        <v>9</v>
      </c>
      <c r="G9" s="67"/>
      <c r="H9" s="67" t="s">
        <v>9</v>
      </c>
      <c r="I9" s="67" t="s">
        <v>9</v>
      </c>
      <c r="L9" s="42" t="s">
        <v>209</v>
      </c>
      <c r="N9" s="42" t="s">
        <v>49</v>
      </c>
    </row>
    <row r="10" spans="1:14" x14ac:dyDescent="0.15">
      <c r="A10" s="80">
        <v>43832</v>
      </c>
      <c r="B10" s="53" t="s">
        <v>146</v>
      </c>
      <c r="D10" s="81" t="s">
        <v>49</v>
      </c>
      <c r="E10" s="6">
        <v>19.8</v>
      </c>
      <c r="F10" s="6"/>
      <c r="G10" s="6"/>
      <c r="H10" s="6"/>
      <c r="I10" s="43">
        <f>E10+F10+H10</f>
        <v>19.8</v>
      </c>
      <c r="L10" s="42" t="s">
        <v>23</v>
      </c>
      <c r="N10" s="42" t="s">
        <v>75</v>
      </c>
    </row>
    <row r="11" spans="1:14" x14ac:dyDescent="0.15">
      <c r="A11" s="80">
        <v>43836</v>
      </c>
      <c r="B11" s="42" t="s">
        <v>147</v>
      </c>
      <c r="D11" s="81" t="s">
        <v>77</v>
      </c>
      <c r="E11" s="6">
        <v>30</v>
      </c>
      <c r="I11" s="43">
        <f>E11+F11+H11</f>
        <v>30</v>
      </c>
      <c r="L11" s="42" t="s">
        <v>53</v>
      </c>
      <c r="N11" s="42" t="s">
        <v>76</v>
      </c>
    </row>
    <row r="12" spans="1:14" x14ac:dyDescent="0.15">
      <c r="A12" s="82">
        <v>43838</v>
      </c>
      <c r="B12" s="53" t="s">
        <v>148</v>
      </c>
      <c r="D12" s="81" t="s">
        <v>70</v>
      </c>
      <c r="E12" s="6">
        <v>21</v>
      </c>
      <c r="F12" s="6"/>
      <c r="G12" s="6"/>
      <c r="H12" s="6"/>
      <c r="I12" s="43">
        <f>E12+F12+H12</f>
        <v>21</v>
      </c>
      <c r="L12" s="42" t="s">
        <v>69</v>
      </c>
      <c r="N12" s="42" t="s">
        <v>74</v>
      </c>
    </row>
    <row r="13" spans="1:14" x14ac:dyDescent="0.15">
      <c r="A13" s="83">
        <v>43838</v>
      </c>
      <c r="B13" s="53" t="s">
        <v>149</v>
      </c>
      <c r="D13" s="81" t="s">
        <v>49</v>
      </c>
      <c r="E13" s="6">
        <v>78.489999999999995</v>
      </c>
      <c r="F13" s="6"/>
      <c r="G13" s="6"/>
      <c r="H13" s="6"/>
      <c r="I13" s="43">
        <f>E13+F13+H13</f>
        <v>78.489999999999995</v>
      </c>
      <c r="L13" s="42" t="s">
        <v>64</v>
      </c>
      <c r="N13" s="42" t="s">
        <v>59</v>
      </c>
    </row>
    <row r="14" spans="1:14" x14ac:dyDescent="0.15">
      <c r="A14" s="82">
        <v>43843</v>
      </c>
      <c r="B14" s="53" t="s">
        <v>150</v>
      </c>
      <c r="D14" s="81" t="s">
        <v>70</v>
      </c>
      <c r="E14" s="6">
        <v>168.53</v>
      </c>
      <c r="F14" s="6"/>
      <c r="G14" s="6"/>
      <c r="H14" s="6"/>
      <c r="I14" s="43">
        <f>E14+F14+H14</f>
        <v>168.53</v>
      </c>
      <c r="L14" s="42" t="s">
        <v>24</v>
      </c>
      <c r="N14" s="42" t="s">
        <v>70</v>
      </c>
    </row>
    <row r="15" spans="1:14" x14ac:dyDescent="0.15">
      <c r="A15" s="83">
        <v>43847</v>
      </c>
      <c r="B15" s="53" t="s">
        <v>151</v>
      </c>
      <c r="D15" s="81" t="s">
        <v>11</v>
      </c>
      <c r="E15" s="6">
        <v>12.5</v>
      </c>
      <c r="F15" s="6"/>
      <c r="G15" s="6"/>
      <c r="H15" s="6"/>
      <c r="I15" s="43">
        <f>E15+F15+H15</f>
        <v>12.5</v>
      </c>
      <c r="L15" s="42" t="s">
        <v>62</v>
      </c>
      <c r="N15" s="42" t="s">
        <v>11</v>
      </c>
    </row>
    <row r="16" spans="1:14" x14ac:dyDescent="0.15">
      <c r="A16" s="83">
        <v>43847</v>
      </c>
      <c r="B16" s="53" t="s">
        <v>152</v>
      </c>
      <c r="D16" s="81" t="s">
        <v>59</v>
      </c>
      <c r="E16" s="6">
        <v>17.079999999999998</v>
      </c>
      <c r="F16" s="6"/>
      <c r="G16" s="6"/>
      <c r="H16" s="6"/>
      <c r="I16" s="43">
        <f>E16+F16+H16</f>
        <v>17.079999999999998</v>
      </c>
      <c r="L16" s="42" t="s">
        <v>35</v>
      </c>
      <c r="N16" s="42" t="s">
        <v>57</v>
      </c>
    </row>
    <row r="17" spans="1:14" x14ac:dyDescent="0.15">
      <c r="A17" s="82">
        <v>43850</v>
      </c>
      <c r="B17" s="53" t="s">
        <v>153</v>
      </c>
      <c r="D17" s="90" t="s">
        <v>59</v>
      </c>
      <c r="E17" s="6">
        <v>7</v>
      </c>
      <c r="F17" s="6"/>
      <c r="G17" s="6"/>
      <c r="H17" s="6"/>
      <c r="I17" s="43">
        <f>E17+F17+H17</f>
        <v>7</v>
      </c>
    </row>
    <row r="18" spans="1:14" x14ac:dyDescent="0.15">
      <c r="A18" s="80">
        <v>43853</v>
      </c>
      <c r="B18" s="53" t="s">
        <v>154</v>
      </c>
      <c r="D18" s="81" t="s">
        <v>11</v>
      </c>
      <c r="E18" s="6">
        <v>4</v>
      </c>
      <c r="F18" s="6"/>
      <c r="G18" s="6"/>
      <c r="H18" s="6"/>
      <c r="I18" s="43">
        <f>E18+F18+H18</f>
        <v>4</v>
      </c>
      <c r="L18" s="42" t="s">
        <v>25</v>
      </c>
      <c r="N18" s="42" t="s">
        <v>77</v>
      </c>
    </row>
    <row r="19" spans="1:14" x14ac:dyDescent="0.15">
      <c r="A19" s="78">
        <v>43853</v>
      </c>
      <c r="B19" s="53" t="s">
        <v>155</v>
      </c>
      <c r="D19" s="81" t="s">
        <v>49</v>
      </c>
      <c r="E19" s="6">
        <v>107.8</v>
      </c>
      <c r="F19" s="6"/>
      <c r="G19" s="6"/>
      <c r="H19" s="6"/>
      <c r="I19" s="43">
        <f>E19+F19+H19</f>
        <v>107.8</v>
      </c>
    </row>
    <row r="20" spans="1:14" x14ac:dyDescent="0.15">
      <c r="A20" s="78">
        <v>43857</v>
      </c>
      <c r="B20" s="53" t="s">
        <v>156</v>
      </c>
      <c r="D20" s="81" t="s">
        <v>11</v>
      </c>
      <c r="E20" s="6">
        <v>436.5</v>
      </c>
      <c r="F20" s="6"/>
      <c r="G20" s="6"/>
      <c r="H20" s="6"/>
      <c r="I20" s="43">
        <f>E20+F20+H20</f>
        <v>436.5</v>
      </c>
    </row>
    <row r="21" spans="1:14" x14ac:dyDescent="0.15">
      <c r="A21" s="78">
        <v>43858</v>
      </c>
      <c r="B21" s="53" t="s">
        <v>157</v>
      </c>
      <c r="D21" s="81" t="s">
        <v>70</v>
      </c>
      <c r="E21" s="6">
        <v>19.8</v>
      </c>
      <c r="F21" s="6"/>
      <c r="G21" s="6"/>
      <c r="H21" s="6"/>
      <c r="I21" s="43">
        <f>E21+F21+H21</f>
        <v>19.8</v>
      </c>
    </row>
    <row r="22" spans="1:14" x14ac:dyDescent="0.15">
      <c r="A22" s="78">
        <v>43858</v>
      </c>
      <c r="B22" s="53" t="s">
        <v>158</v>
      </c>
      <c r="D22" s="81" t="s">
        <v>11</v>
      </c>
      <c r="E22" s="6">
        <v>4.09</v>
      </c>
      <c r="F22" s="6"/>
      <c r="G22" s="6"/>
      <c r="H22" s="6"/>
      <c r="I22" s="43">
        <f>E22+F22+H22</f>
        <v>4.09</v>
      </c>
    </row>
    <row r="23" spans="1:14" x14ac:dyDescent="0.15">
      <c r="A23" s="78">
        <v>43864</v>
      </c>
      <c r="B23" s="53" t="s">
        <v>159</v>
      </c>
      <c r="D23" s="81" t="s">
        <v>59</v>
      </c>
      <c r="E23" s="6">
        <v>200</v>
      </c>
      <c r="F23" s="6"/>
      <c r="G23" s="6"/>
      <c r="H23" s="6"/>
      <c r="I23" s="43">
        <f>E23+F23+H23</f>
        <v>200</v>
      </c>
    </row>
    <row r="24" spans="1:14" x14ac:dyDescent="0.15">
      <c r="A24" s="78">
        <v>43866</v>
      </c>
      <c r="B24" s="53" t="s">
        <v>160</v>
      </c>
      <c r="D24" s="81" t="s">
        <v>77</v>
      </c>
      <c r="E24" s="6">
        <v>20</v>
      </c>
      <c r="F24" s="6"/>
      <c r="G24" s="6"/>
      <c r="H24" s="6"/>
      <c r="I24" s="43">
        <f>E24+F24+H24</f>
        <v>20</v>
      </c>
    </row>
    <row r="25" spans="1:14" x14ac:dyDescent="0.15">
      <c r="A25" s="78">
        <v>43866</v>
      </c>
      <c r="B25" s="53" t="s">
        <v>82</v>
      </c>
      <c r="D25" s="81" t="s">
        <v>49</v>
      </c>
      <c r="E25" s="6">
        <v>158.61000000000001</v>
      </c>
      <c r="F25" s="6"/>
      <c r="G25" s="6"/>
      <c r="H25" s="6"/>
      <c r="I25" s="43">
        <f>E25+F25+H25</f>
        <v>158.61000000000001</v>
      </c>
    </row>
    <row r="26" spans="1:14" x14ac:dyDescent="0.15">
      <c r="A26" s="78">
        <v>43868</v>
      </c>
      <c r="B26" s="53" t="s">
        <v>161</v>
      </c>
      <c r="D26" s="81" t="s">
        <v>49</v>
      </c>
      <c r="E26" s="6">
        <v>78.489999999999995</v>
      </c>
      <c r="F26" s="6"/>
      <c r="G26" s="6"/>
      <c r="H26" s="6"/>
      <c r="I26" s="43">
        <f>E26+F26+H26</f>
        <v>78.489999999999995</v>
      </c>
    </row>
    <row r="27" spans="1:14" x14ac:dyDescent="0.15">
      <c r="A27" s="78">
        <v>43874</v>
      </c>
      <c r="B27" s="53" t="s">
        <v>82</v>
      </c>
      <c r="D27" s="81" t="s">
        <v>49</v>
      </c>
      <c r="E27" s="6">
        <v>236.67</v>
      </c>
      <c r="F27" s="6"/>
      <c r="G27" s="6"/>
      <c r="H27" s="6"/>
      <c r="I27" s="43">
        <f>E27+F27+H27</f>
        <v>236.67</v>
      </c>
    </row>
    <row r="28" spans="1:14" x14ac:dyDescent="0.15">
      <c r="A28" s="78">
        <v>43881</v>
      </c>
      <c r="B28" s="53" t="s">
        <v>162</v>
      </c>
      <c r="D28" s="81" t="s">
        <v>11</v>
      </c>
      <c r="E28" s="6">
        <v>115</v>
      </c>
      <c r="F28" s="6"/>
      <c r="G28" s="6"/>
      <c r="H28" s="6"/>
      <c r="I28" s="43">
        <f>E28+F28+H28</f>
        <v>115</v>
      </c>
    </row>
    <row r="29" spans="1:14" x14ac:dyDescent="0.15">
      <c r="A29" s="78">
        <v>43881</v>
      </c>
      <c r="B29" s="53" t="s">
        <v>163</v>
      </c>
      <c r="D29" s="81" t="s">
        <v>59</v>
      </c>
      <c r="E29" s="6">
        <v>48</v>
      </c>
      <c r="F29" s="6"/>
      <c r="G29" s="6"/>
      <c r="H29" s="6"/>
      <c r="I29" s="43">
        <f>E29+F29+H29</f>
        <v>48</v>
      </c>
    </row>
    <row r="30" spans="1:14" x14ac:dyDescent="0.15">
      <c r="A30" s="78">
        <v>43881</v>
      </c>
      <c r="B30" s="53" t="s">
        <v>164</v>
      </c>
      <c r="D30" s="81" t="s">
        <v>49</v>
      </c>
      <c r="E30" s="6">
        <v>123.88</v>
      </c>
      <c r="F30" s="6"/>
      <c r="G30" s="6"/>
      <c r="H30" s="6"/>
      <c r="I30" s="43">
        <f>E30+F30+H30</f>
        <v>123.88</v>
      </c>
    </row>
    <row r="31" spans="1:14" x14ac:dyDescent="0.15">
      <c r="A31" s="78">
        <v>43885</v>
      </c>
      <c r="B31" s="53" t="s">
        <v>165</v>
      </c>
      <c r="D31" s="81" t="s">
        <v>11</v>
      </c>
      <c r="E31" s="6">
        <v>91.7</v>
      </c>
      <c r="F31" s="6"/>
      <c r="G31" s="6"/>
      <c r="H31" s="6"/>
      <c r="I31" s="43">
        <f>E31+F31+H31</f>
        <v>91.7</v>
      </c>
    </row>
    <row r="32" spans="1:14" x14ac:dyDescent="0.15">
      <c r="A32" s="78">
        <v>43889</v>
      </c>
      <c r="B32" s="53" t="s">
        <v>157</v>
      </c>
      <c r="D32" s="81" t="s">
        <v>70</v>
      </c>
      <c r="E32" s="6">
        <v>19.8</v>
      </c>
      <c r="F32" s="6"/>
      <c r="G32" s="6"/>
      <c r="H32" s="6"/>
      <c r="I32" s="43">
        <f>E32+F32+H32</f>
        <v>19.8</v>
      </c>
    </row>
    <row r="33" spans="1:9" x14ac:dyDescent="0.15">
      <c r="A33" s="78">
        <v>43889</v>
      </c>
      <c r="B33" s="53" t="s">
        <v>166</v>
      </c>
      <c r="D33" s="81" t="s">
        <v>57</v>
      </c>
      <c r="E33" s="6">
        <v>20.16</v>
      </c>
      <c r="F33" s="6"/>
      <c r="G33" s="6"/>
      <c r="H33" s="6"/>
      <c r="I33" s="43">
        <f>E33+F33+H33</f>
        <v>20.16</v>
      </c>
    </row>
    <row r="34" spans="1:9" x14ac:dyDescent="0.15">
      <c r="A34" s="78">
        <v>43899</v>
      </c>
      <c r="B34" s="53" t="s">
        <v>167</v>
      </c>
      <c r="D34" s="90" t="s">
        <v>59</v>
      </c>
      <c r="E34" s="6">
        <v>9.58</v>
      </c>
      <c r="F34" s="6"/>
      <c r="G34" s="6"/>
      <c r="H34" s="6"/>
      <c r="I34" s="43">
        <f>E34+F34+H34</f>
        <v>9.58</v>
      </c>
    </row>
    <row r="35" spans="1:9" x14ac:dyDescent="0.15">
      <c r="A35" s="78">
        <v>43899</v>
      </c>
      <c r="B35" s="53" t="s">
        <v>168</v>
      </c>
      <c r="D35" s="90" t="s">
        <v>11</v>
      </c>
      <c r="E35" s="84">
        <v>14.99</v>
      </c>
      <c r="F35" s="6"/>
      <c r="G35" s="6"/>
      <c r="H35" s="6"/>
      <c r="I35" s="43">
        <f>E35+F35+H35</f>
        <v>14.99</v>
      </c>
    </row>
    <row r="36" spans="1:9" x14ac:dyDescent="0.15">
      <c r="A36" s="78">
        <v>43899</v>
      </c>
      <c r="B36" s="53" t="s">
        <v>169</v>
      </c>
      <c r="D36" s="81" t="s">
        <v>59</v>
      </c>
      <c r="E36" s="6">
        <v>49.92</v>
      </c>
      <c r="F36" s="6"/>
      <c r="G36" s="6"/>
      <c r="H36" s="6"/>
      <c r="I36" s="43">
        <f>E36+F36+H36</f>
        <v>49.92</v>
      </c>
    </row>
    <row r="37" spans="1:9" x14ac:dyDescent="0.15">
      <c r="A37" s="78">
        <v>43899</v>
      </c>
      <c r="B37" s="53" t="s">
        <v>170</v>
      </c>
      <c r="D37" s="90" t="s">
        <v>70</v>
      </c>
      <c r="E37" s="6">
        <v>99.6</v>
      </c>
      <c r="F37" s="6"/>
      <c r="G37" s="6"/>
      <c r="H37" s="6"/>
      <c r="I37" s="43">
        <f>E37+F37+H37</f>
        <v>99.6</v>
      </c>
    </row>
    <row r="38" spans="1:9" x14ac:dyDescent="0.15">
      <c r="A38" s="78">
        <v>43899</v>
      </c>
      <c r="B38" s="53" t="s">
        <v>82</v>
      </c>
      <c r="D38" s="81" t="s">
        <v>49</v>
      </c>
      <c r="E38" s="6">
        <v>236.67</v>
      </c>
      <c r="F38" s="6"/>
      <c r="G38" s="6"/>
      <c r="H38" s="6"/>
      <c r="I38" s="43">
        <f>E38+F38+H38</f>
        <v>236.67</v>
      </c>
    </row>
    <row r="39" spans="1:9" x14ac:dyDescent="0.15">
      <c r="A39" s="78">
        <v>43907</v>
      </c>
      <c r="B39" s="53" t="s">
        <v>171</v>
      </c>
      <c r="D39" s="81" t="s">
        <v>57</v>
      </c>
      <c r="E39" s="6">
        <v>26.76</v>
      </c>
      <c r="F39" s="6"/>
      <c r="G39" s="6"/>
      <c r="H39" s="6"/>
      <c r="I39" s="43">
        <f>E39+F39+H39</f>
        <v>26.76</v>
      </c>
    </row>
    <row r="40" spans="1:9" x14ac:dyDescent="0.15">
      <c r="A40" s="78">
        <v>43907</v>
      </c>
      <c r="B40" s="53" t="s">
        <v>172</v>
      </c>
      <c r="D40" s="81" t="s">
        <v>59</v>
      </c>
      <c r="E40" s="6">
        <v>52.8</v>
      </c>
      <c r="F40" s="6"/>
      <c r="G40" s="6"/>
      <c r="H40" s="6"/>
      <c r="I40" s="43">
        <f>E40+F40+H40</f>
        <v>52.8</v>
      </c>
    </row>
    <row r="41" spans="1:9" x14ac:dyDescent="0.15">
      <c r="A41" s="78">
        <v>43907</v>
      </c>
      <c r="B41" s="53" t="s">
        <v>173</v>
      </c>
      <c r="D41" s="81" t="s">
        <v>49</v>
      </c>
      <c r="E41" s="6">
        <v>112.12</v>
      </c>
      <c r="F41" s="6"/>
      <c r="G41" s="6"/>
      <c r="H41" s="6"/>
      <c r="I41" s="43">
        <f>E41+F41+H41</f>
        <v>112.12</v>
      </c>
    </row>
    <row r="42" spans="1:9" x14ac:dyDescent="0.15">
      <c r="A42" s="78">
        <v>43910</v>
      </c>
      <c r="B42" s="53" t="s">
        <v>155</v>
      </c>
      <c r="D42" s="81" t="s">
        <v>49</v>
      </c>
      <c r="E42" s="6">
        <v>93.01</v>
      </c>
      <c r="F42" s="6"/>
      <c r="G42" s="6"/>
      <c r="H42" s="6"/>
      <c r="I42" s="43">
        <f>E42+F42+H42</f>
        <v>93.01</v>
      </c>
    </row>
    <row r="43" spans="1:9" x14ac:dyDescent="0.15">
      <c r="A43" s="78">
        <v>43920</v>
      </c>
      <c r="B43" s="53" t="s">
        <v>157</v>
      </c>
      <c r="D43" s="81" t="s">
        <v>70</v>
      </c>
      <c r="E43" s="6">
        <v>19.8</v>
      </c>
      <c r="F43" s="6"/>
      <c r="G43" s="6"/>
      <c r="H43" s="6"/>
      <c r="I43" s="43">
        <f>E43+F43+H43</f>
        <v>19.8</v>
      </c>
    </row>
    <row r="44" spans="1:9" x14ac:dyDescent="0.15">
      <c r="A44" s="78">
        <v>43921</v>
      </c>
      <c r="B44" s="53" t="s">
        <v>174</v>
      </c>
      <c r="D44" s="81" t="s">
        <v>77</v>
      </c>
      <c r="E44" s="6">
        <v>20</v>
      </c>
      <c r="F44" s="6"/>
      <c r="G44" s="6"/>
      <c r="H44" s="6"/>
      <c r="I44" s="43">
        <f>E44+F44+H44</f>
        <v>20</v>
      </c>
    </row>
    <row r="45" spans="1:9" x14ac:dyDescent="0.15">
      <c r="A45" s="78">
        <v>43949</v>
      </c>
      <c r="B45" s="53" t="s">
        <v>157</v>
      </c>
      <c r="D45" s="81" t="s">
        <v>70</v>
      </c>
      <c r="E45" s="6">
        <v>19.8</v>
      </c>
      <c r="F45" s="6"/>
      <c r="G45" s="6"/>
      <c r="H45" s="6"/>
      <c r="I45" s="43">
        <f>E45+F45+H45</f>
        <v>19.8</v>
      </c>
    </row>
    <row r="46" spans="1:9" x14ac:dyDescent="0.15">
      <c r="A46" s="78">
        <v>43952</v>
      </c>
      <c r="B46" s="53" t="s">
        <v>175</v>
      </c>
      <c r="D46" s="81" t="s">
        <v>77</v>
      </c>
      <c r="E46" s="6">
        <v>50</v>
      </c>
      <c r="F46" s="6"/>
      <c r="G46" s="6"/>
      <c r="H46" s="6"/>
      <c r="I46" s="43">
        <f>E46+F46+H46</f>
        <v>50</v>
      </c>
    </row>
    <row r="47" spans="1:9" x14ac:dyDescent="0.15">
      <c r="A47" s="78">
        <v>43972</v>
      </c>
      <c r="B47" s="53" t="s">
        <v>164</v>
      </c>
      <c r="D47" s="81" t="s">
        <v>49</v>
      </c>
      <c r="E47" s="6">
        <v>87.64</v>
      </c>
      <c r="F47" s="6"/>
      <c r="G47" s="6"/>
      <c r="H47" s="6"/>
      <c r="I47" s="43">
        <f>E47+F47+H47</f>
        <v>87.64</v>
      </c>
    </row>
    <row r="48" spans="1:9" x14ac:dyDescent="0.15">
      <c r="A48" s="78">
        <v>43979</v>
      </c>
      <c r="B48" s="53" t="s">
        <v>176</v>
      </c>
      <c r="D48" s="81" t="s">
        <v>57</v>
      </c>
      <c r="E48" s="6">
        <v>28.8</v>
      </c>
      <c r="F48" s="6"/>
      <c r="G48" s="6"/>
      <c r="H48" s="6"/>
      <c r="I48" s="43">
        <f>E48+F48+H48</f>
        <v>28.8</v>
      </c>
    </row>
    <row r="49" spans="1:9" x14ac:dyDescent="0.15">
      <c r="A49" s="78">
        <v>43980</v>
      </c>
      <c r="B49" s="53" t="s">
        <v>157</v>
      </c>
      <c r="D49" s="81" t="s">
        <v>70</v>
      </c>
      <c r="E49" s="6">
        <v>19.8</v>
      </c>
      <c r="F49" s="6"/>
      <c r="G49" s="6"/>
      <c r="H49" s="6"/>
      <c r="I49" s="43">
        <f>E49+F49+H49</f>
        <v>19.8</v>
      </c>
    </row>
    <row r="50" spans="1:9" x14ac:dyDescent="0.15">
      <c r="A50" s="78">
        <v>43983</v>
      </c>
      <c r="B50" s="53" t="s">
        <v>177</v>
      </c>
      <c r="D50" s="81" t="s">
        <v>49</v>
      </c>
      <c r="E50" s="6">
        <v>552.39</v>
      </c>
      <c r="F50" s="6"/>
      <c r="G50" s="6"/>
      <c r="H50" s="6"/>
      <c r="I50" s="43">
        <f>E50+F50+H50</f>
        <v>552.39</v>
      </c>
    </row>
    <row r="51" spans="1:9" x14ac:dyDescent="0.15">
      <c r="A51" s="78">
        <v>43985</v>
      </c>
      <c r="B51" s="53" t="s">
        <v>178</v>
      </c>
      <c r="D51" s="81" t="s">
        <v>59</v>
      </c>
      <c r="E51" s="6">
        <v>90</v>
      </c>
      <c r="F51" s="6"/>
      <c r="G51" s="6"/>
      <c r="H51" s="6"/>
      <c r="I51" s="43">
        <f>E51+F51+H51</f>
        <v>90</v>
      </c>
    </row>
    <row r="52" spans="1:9" x14ac:dyDescent="0.15">
      <c r="A52" s="78">
        <v>43991</v>
      </c>
      <c r="B52" s="53" t="s">
        <v>179</v>
      </c>
      <c r="D52" s="81" t="s">
        <v>59</v>
      </c>
      <c r="E52" s="6">
        <v>30.68</v>
      </c>
      <c r="F52" s="6"/>
      <c r="G52" s="6"/>
      <c r="H52" s="6"/>
      <c r="I52" s="43">
        <f>E52+F52+H52</f>
        <v>30.68</v>
      </c>
    </row>
    <row r="53" spans="1:9" x14ac:dyDescent="0.15">
      <c r="A53" s="78">
        <v>43997</v>
      </c>
      <c r="B53" s="53" t="s">
        <v>173</v>
      </c>
      <c r="D53" s="81" t="s">
        <v>49</v>
      </c>
      <c r="E53" s="6">
        <v>80.31</v>
      </c>
      <c r="F53" s="6"/>
      <c r="G53" s="6"/>
      <c r="H53" s="6"/>
      <c r="I53" s="43">
        <f>E53+F53+H53</f>
        <v>80.31</v>
      </c>
    </row>
    <row r="54" spans="1:9" x14ac:dyDescent="0.15">
      <c r="A54" s="78">
        <v>43998</v>
      </c>
      <c r="B54" s="53" t="s">
        <v>180</v>
      </c>
      <c r="D54" s="81" t="s">
        <v>74</v>
      </c>
      <c r="E54" s="6">
        <v>116.34</v>
      </c>
      <c r="F54" s="6"/>
      <c r="G54" s="6"/>
      <c r="H54" s="6"/>
      <c r="I54" s="43">
        <f>E54+F54+H54</f>
        <v>116.34</v>
      </c>
    </row>
    <row r="55" spans="1:9" x14ac:dyDescent="0.15">
      <c r="A55" s="78">
        <v>44004</v>
      </c>
      <c r="B55" s="53" t="s">
        <v>181</v>
      </c>
      <c r="D55" s="81" t="s">
        <v>59</v>
      </c>
      <c r="E55" s="6">
        <v>2152.2199999999998</v>
      </c>
      <c r="F55" s="6"/>
      <c r="G55" s="6"/>
      <c r="H55" s="6"/>
      <c r="I55" s="43">
        <f>E55+F55+H55</f>
        <v>2152.2199999999998</v>
      </c>
    </row>
    <row r="56" spans="1:9" x14ac:dyDescent="0.15">
      <c r="A56" s="78">
        <v>44006</v>
      </c>
      <c r="B56" s="53" t="s">
        <v>182</v>
      </c>
      <c r="D56" s="81" t="s">
        <v>59</v>
      </c>
      <c r="E56" s="6">
        <v>128.4</v>
      </c>
      <c r="F56" s="6"/>
      <c r="G56" s="6"/>
      <c r="H56" s="6"/>
      <c r="I56" s="43">
        <f>E56+F56+H56</f>
        <v>128.4</v>
      </c>
    </row>
    <row r="57" spans="1:9" x14ac:dyDescent="0.15">
      <c r="A57" s="78">
        <v>44011</v>
      </c>
      <c r="B57" s="53" t="s">
        <v>157</v>
      </c>
      <c r="D57" s="81" t="s">
        <v>70</v>
      </c>
      <c r="E57" s="6">
        <v>19.8</v>
      </c>
      <c r="F57" s="6"/>
      <c r="G57" s="6"/>
      <c r="H57" s="6"/>
      <c r="I57" s="43">
        <f>E57+F57+H57</f>
        <v>19.8</v>
      </c>
    </row>
    <row r="58" spans="1:9" x14ac:dyDescent="0.15">
      <c r="A58" s="78">
        <v>44011</v>
      </c>
      <c r="B58" s="53" t="s">
        <v>164</v>
      </c>
      <c r="D58" s="81" t="s">
        <v>49</v>
      </c>
      <c r="E58" s="6">
        <v>35.83</v>
      </c>
      <c r="F58" s="6"/>
      <c r="G58" s="6"/>
      <c r="H58" s="6"/>
      <c r="I58" s="43">
        <f>E58+F58+H58</f>
        <v>35.83</v>
      </c>
    </row>
    <row r="59" spans="1:9" x14ac:dyDescent="0.15">
      <c r="A59" s="78">
        <v>44025</v>
      </c>
      <c r="B59" s="53" t="s">
        <v>183</v>
      </c>
      <c r="D59" s="81" t="s">
        <v>74</v>
      </c>
      <c r="E59" s="6">
        <v>57.94</v>
      </c>
      <c r="F59" s="6"/>
      <c r="G59" s="6"/>
      <c r="H59" s="6"/>
      <c r="I59" s="43">
        <f>E59+F59+H59</f>
        <v>57.94</v>
      </c>
    </row>
    <row r="60" spans="1:9" x14ac:dyDescent="0.15">
      <c r="A60" s="78">
        <v>44034</v>
      </c>
      <c r="B60" s="53" t="s">
        <v>164</v>
      </c>
      <c r="D60" s="81" t="s">
        <v>49</v>
      </c>
      <c r="E60" s="6">
        <v>26.26</v>
      </c>
      <c r="F60" s="6"/>
      <c r="G60" s="6"/>
      <c r="H60" s="6"/>
      <c r="I60" s="43">
        <f>E60+F60+H60</f>
        <v>26.26</v>
      </c>
    </row>
    <row r="61" spans="1:9" x14ac:dyDescent="0.15">
      <c r="A61" s="78">
        <v>44040</v>
      </c>
      <c r="B61" s="53" t="s">
        <v>157</v>
      </c>
      <c r="D61" s="81" t="s">
        <v>70</v>
      </c>
      <c r="E61" s="6">
        <v>19.8</v>
      </c>
      <c r="F61" s="6"/>
      <c r="G61" s="6"/>
      <c r="H61" s="6"/>
      <c r="I61" s="43">
        <f>E61+F61+H61</f>
        <v>19.8</v>
      </c>
    </row>
    <row r="62" spans="1:9" x14ac:dyDescent="0.15">
      <c r="A62" s="78">
        <v>44044</v>
      </c>
      <c r="B62" s="53" t="s">
        <v>184</v>
      </c>
      <c r="D62" s="81" t="s">
        <v>75</v>
      </c>
      <c r="E62" s="6">
        <v>1524.86</v>
      </c>
      <c r="F62" s="6"/>
      <c r="G62" s="6"/>
      <c r="H62" s="6"/>
      <c r="I62" s="43">
        <f>E62+F62+H62</f>
        <v>1524.86</v>
      </c>
    </row>
    <row r="63" spans="1:9" x14ac:dyDescent="0.15">
      <c r="A63" s="78">
        <v>44056</v>
      </c>
      <c r="B63" s="53" t="s">
        <v>185</v>
      </c>
      <c r="D63" s="81" t="s">
        <v>59</v>
      </c>
      <c r="E63" s="6">
        <v>124.06</v>
      </c>
      <c r="F63" s="6"/>
      <c r="G63" s="6"/>
      <c r="H63" s="6"/>
      <c r="I63" s="43">
        <f>E63+F63+H63</f>
        <v>124.06</v>
      </c>
    </row>
    <row r="64" spans="1:9" x14ac:dyDescent="0.15">
      <c r="A64" s="78">
        <v>44063</v>
      </c>
      <c r="B64" s="53" t="s">
        <v>186</v>
      </c>
      <c r="D64" s="81" t="s">
        <v>77</v>
      </c>
      <c r="E64" s="6">
        <v>14.01</v>
      </c>
      <c r="F64" s="6"/>
      <c r="G64" s="6"/>
      <c r="H64" s="6"/>
      <c r="I64" s="43">
        <f>E64+F64+H64</f>
        <v>14.01</v>
      </c>
    </row>
    <row r="65" spans="1:9" x14ac:dyDescent="0.15">
      <c r="A65" s="78">
        <v>44064</v>
      </c>
      <c r="B65" s="53" t="s">
        <v>164</v>
      </c>
      <c r="D65" s="81" t="s">
        <v>49</v>
      </c>
      <c r="E65" s="6">
        <v>24.64</v>
      </c>
      <c r="F65" s="6"/>
      <c r="G65" s="6"/>
      <c r="H65" s="6"/>
      <c r="I65" s="43">
        <f>E65+F65+H65</f>
        <v>24.64</v>
      </c>
    </row>
    <row r="66" spans="1:9" x14ac:dyDescent="0.15">
      <c r="A66" s="78">
        <v>44064</v>
      </c>
      <c r="B66" s="53" t="s">
        <v>187</v>
      </c>
      <c r="D66" s="81" t="s">
        <v>57</v>
      </c>
      <c r="E66" s="6">
        <v>78.099999999999994</v>
      </c>
      <c r="F66" s="6"/>
      <c r="G66" s="6"/>
      <c r="H66" s="6"/>
      <c r="I66" s="43">
        <f>E66+F66+H66</f>
        <v>78.099999999999994</v>
      </c>
    </row>
    <row r="67" spans="1:9" x14ac:dyDescent="0.15">
      <c r="A67" s="78">
        <v>44067</v>
      </c>
      <c r="B67" s="53" t="s">
        <v>188</v>
      </c>
      <c r="D67" s="81" t="s">
        <v>59</v>
      </c>
      <c r="E67" s="6">
        <v>128.88</v>
      </c>
      <c r="F67" s="6"/>
      <c r="G67" s="6"/>
      <c r="H67" s="6"/>
      <c r="I67" s="43">
        <f>E67+F67+H67</f>
        <v>128.88</v>
      </c>
    </row>
    <row r="68" spans="1:9" x14ac:dyDescent="0.15">
      <c r="A68" s="78">
        <v>44071</v>
      </c>
      <c r="B68" s="53" t="s">
        <v>157</v>
      </c>
      <c r="D68" s="81" t="s">
        <v>70</v>
      </c>
      <c r="E68" s="6">
        <v>19.8</v>
      </c>
      <c r="F68" s="6"/>
      <c r="G68" s="6"/>
      <c r="H68" s="6"/>
      <c r="I68" s="43">
        <f>E68+F68+H68</f>
        <v>19.8</v>
      </c>
    </row>
    <row r="69" spans="1:9" x14ac:dyDescent="0.15">
      <c r="A69" s="78">
        <v>44075</v>
      </c>
      <c r="B69" s="53" t="s">
        <v>189</v>
      </c>
      <c r="D69" s="81" t="s">
        <v>59</v>
      </c>
      <c r="E69" s="6">
        <v>11.77</v>
      </c>
      <c r="F69" s="6"/>
      <c r="G69" s="6"/>
      <c r="H69" s="6"/>
      <c r="I69" s="43">
        <f>E69+F69+H69</f>
        <v>11.77</v>
      </c>
    </row>
    <row r="70" spans="1:9" x14ac:dyDescent="0.15">
      <c r="A70" s="78">
        <v>44078</v>
      </c>
      <c r="B70" s="53" t="s">
        <v>190</v>
      </c>
      <c r="D70" s="81" t="s">
        <v>57</v>
      </c>
      <c r="E70" s="6">
        <v>27</v>
      </c>
      <c r="F70" s="6"/>
      <c r="G70" s="6"/>
      <c r="H70" s="6"/>
      <c r="I70" s="43">
        <f>E70+F70+H70</f>
        <v>27</v>
      </c>
    </row>
    <row r="71" spans="1:9" x14ac:dyDescent="0.15">
      <c r="A71" s="78">
        <v>44084</v>
      </c>
      <c r="B71" s="53" t="s">
        <v>191</v>
      </c>
      <c r="D71" s="81" t="s">
        <v>57</v>
      </c>
      <c r="E71" s="6">
        <v>38.380000000000003</v>
      </c>
      <c r="F71" s="6"/>
      <c r="G71" s="6"/>
      <c r="H71" s="6"/>
      <c r="I71" s="43">
        <f>E71+F71+H71</f>
        <v>38.380000000000003</v>
      </c>
    </row>
    <row r="72" spans="1:9" x14ac:dyDescent="0.15">
      <c r="A72" s="78">
        <v>44088</v>
      </c>
      <c r="B72" s="53" t="s">
        <v>192</v>
      </c>
      <c r="D72" s="81" t="s">
        <v>49</v>
      </c>
      <c r="E72" s="6">
        <v>49.83</v>
      </c>
      <c r="F72" s="6"/>
      <c r="G72" s="6"/>
      <c r="H72" s="6"/>
      <c r="I72" s="43">
        <f>E72+F72+H72</f>
        <v>49.83</v>
      </c>
    </row>
    <row r="73" spans="1:9" x14ac:dyDescent="0.15">
      <c r="A73" s="78">
        <v>44088</v>
      </c>
      <c r="B73" s="53" t="s">
        <v>173</v>
      </c>
      <c r="D73" s="81" t="s">
        <v>49</v>
      </c>
      <c r="E73" s="6">
        <v>96.16</v>
      </c>
      <c r="F73" s="6"/>
      <c r="G73" s="6"/>
      <c r="H73" s="6"/>
      <c r="I73" s="43">
        <f>E73+F73+H73</f>
        <v>96.16</v>
      </c>
    </row>
    <row r="74" spans="1:9" x14ac:dyDescent="0.15">
      <c r="A74" s="78">
        <v>44088</v>
      </c>
      <c r="B74" s="53" t="s">
        <v>193</v>
      </c>
      <c r="D74" s="81" t="s">
        <v>77</v>
      </c>
      <c r="E74" s="6">
        <v>216</v>
      </c>
      <c r="F74" s="6"/>
      <c r="G74" s="6"/>
      <c r="H74" s="6"/>
      <c r="I74" s="43">
        <f>E74+F74+H74</f>
        <v>216</v>
      </c>
    </row>
    <row r="75" spans="1:9" x14ac:dyDescent="0.15">
      <c r="A75" s="78">
        <v>44088</v>
      </c>
      <c r="B75" s="53" t="s">
        <v>194</v>
      </c>
      <c r="D75" s="81" t="s">
        <v>59</v>
      </c>
      <c r="E75" s="6">
        <v>109</v>
      </c>
      <c r="F75" s="6"/>
      <c r="G75" s="6"/>
      <c r="H75" s="6"/>
      <c r="I75" s="43">
        <f>E75+F75+H75</f>
        <v>109</v>
      </c>
    </row>
    <row r="76" spans="1:9" x14ac:dyDescent="0.15">
      <c r="A76" s="78">
        <v>44092</v>
      </c>
      <c r="B76" s="53" t="s">
        <v>157</v>
      </c>
      <c r="D76" s="81" t="s">
        <v>70</v>
      </c>
      <c r="E76" s="6">
        <v>19.8</v>
      </c>
      <c r="F76" s="6"/>
      <c r="G76" s="6"/>
      <c r="H76" s="6"/>
      <c r="I76" s="43">
        <f>E76+F76+H76</f>
        <v>19.8</v>
      </c>
    </row>
    <row r="77" spans="1:9" x14ac:dyDescent="0.15">
      <c r="A77" s="78">
        <v>44109</v>
      </c>
      <c r="B77" s="53" t="s">
        <v>195</v>
      </c>
      <c r="D77" s="81" t="s">
        <v>74</v>
      </c>
      <c r="E77" s="6">
        <v>120</v>
      </c>
      <c r="F77" s="6"/>
      <c r="G77" s="6"/>
      <c r="H77" s="6"/>
      <c r="I77" s="43">
        <f>E77+F77+H77</f>
        <v>120</v>
      </c>
    </row>
    <row r="78" spans="1:9" x14ac:dyDescent="0.15">
      <c r="A78" s="78">
        <v>44132</v>
      </c>
      <c r="B78" s="53" t="s">
        <v>146</v>
      </c>
      <c r="D78" s="81" t="s">
        <v>70</v>
      </c>
      <c r="E78" s="6">
        <v>19.8</v>
      </c>
      <c r="F78" s="6"/>
      <c r="G78" s="6"/>
      <c r="H78" s="6"/>
      <c r="I78" s="43">
        <f>E78+F78+H78</f>
        <v>19.8</v>
      </c>
    </row>
    <row r="79" spans="1:9" x14ac:dyDescent="0.15">
      <c r="A79" s="78">
        <v>44138</v>
      </c>
      <c r="B79" s="53" t="s">
        <v>196</v>
      </c>
      <c r="D79" s="81" t="s">
        <v>77</v>
      </c>
      <c r="E79" s="6">
        <v>45</v>
      </c>
      <c r="F79" s="6"/>
      <c r="G79" s="6"/>
      <c r="H79" s="6"/>
      <c r="I79" s="43">
        <f>E79+F79+H79</f>
        <v>45</v>
      </c>
    </row>
    <row r="80" spans="1:9" x14ac:dyDescent="0.15">
      <c r="A80" s="78">
        <v>44141</v>
      </c>
      <c r="B80" s="53" t="s">
        <v>197</v>
      </c>
      <c r="D80" s="81" t="s">
        <v>59</v>
      </c>
      <c r="E80" s="6">
        <v>12</v>
      </c>
      <c r="F80" s="6"/>
      <c r="G80" s="6"/>
      <c r="H80" s="6"/>
      <c r="I80" s="43">
        <f>E80+F80+H80</f>
        <v>12</v>
      </c>
    </row>
    <row r="81" spans="1:9" x14ac:dyDescent="0.15">
      <c r="A81" s="78">
        <v>44158</v>
      </c>
      <c r="B81" s="53" t="s">
        <v>164</v>
      </c>
      <c r="D81" s="81" t="s">
        <v>49</v>
      </c>
      <c r="E81" s="6">
        <v>97.05</v>
      </c>
      <c r="F81" s="6"/>
      <c r="G81" s="6"/>
      <c r="H81" s="6"/>
      <c r="I81" s="43">
        <f>E81+F81+H81</f>
        <v>97.05</v>
      </c>
    </row>
    <row r="82" spans="1:9" x14ac:dyDescent="0.15">
      <c r="A82" s="78">
        <v>44165</v>
      </c>
      <c r="B82" s="53" t="s">
        <v>157</v>
      </c>
      <c r="D82" s="81" t="s">
        <v>70</v>
      </c>
      <c r="E82" s="6">
        <v>19.8</v>
      </c>
      <c r="F82" s="6"/>
      <c r="G82" s="6"/>
      <c r="H82" s="6"/>
      <c r="I82" s="43">
        <f>E82+F82+H82</f>
        <v>19.8</v>
      </c>
    </row>
    <row r="83" spans="1:9" x14ac:dyDescent="0.15">
      <c r="A83" s="78">
        <v>44165</v>
      </c>
      <c r="B83" s="53" t="s">
        <v>205</v>
      </c>
      <c r="D83" s="81" t="s">
        <v>59</v>
      </c>
      <c r="E83" s="6">
        <v>900</v>
      </c>
      <c r="F83" s="6"/>
      <c r="G83" s="6"/>
      <c r="H83" s="6"/>
      <c r="I83" s="43">
        <f>E83+F83+H83</f>
        <v>900</v>
      </c>
    </row>
    <row r="84" spans="1:9" x14ac:dyDescent="0.15">
      <c r="A84" s="78">
        <v>44169</v>
      </c>
      <c r="B84" s="53" t="s">
        <v>204</v>
      </c>
      <c r="D84" s="81" t="s">
        <v>59</v>
      </c>
      <c r="E84" s="6">
        <v>36</v>
      </c>
      <c r="F84" s="6"/>
      <c r="G84" s="6"/>
      <c r="H84" s="6"/>
      <c r="I84" s="43">
        <f>E84+F84+H84</f>
        <v>36</v>
      </c>
    </row>
    <row r="85" spans="1:9" x14ac:dyDescent="0.15">
      <c r="A85" s="78">
        <v>44179</v>
      </c>
      <c r="B85" s="53" t="s">
        <v>206</v>
      </c>
      <c r="D85" s="81" t="s">
        <v>77</v>
      </c>
      <c r="E85" s="6">
        <v>20</v>
      </c>
      <c r="F85" s="6"/>
      <c r="G85" s="6"/>
      <c r="H85" s="6"/>
      <c r="I85" s="43">
        <f>E85+F85+H85</f>
        <v>20</v>
      </c>
    </row>
    <row r="86" spans="1:9" x14ac:dyDescent="0.15">
      <c r="A86" s="78">
        <v>44181</v>
      </c>
      <c r="B86" s="53" t="s">
        <v>173</v>
      </c>
      <c r="D86" s="81" t="s">
        <v>49</v>
      </c>
      <c r="E86" s="6">
        <v>95.74</v>
      </c>
      <c r="F86" s="6"/>
      <c r="G86" s="6"/>
      <c r="H86" s="6"/>
      <c r="I86" s="43">
        <f>E86+F86+H86</f>
        <v>95.74</v>
      </c>
    </row>
    <row r="87" spans="1:9" x14ac:dyDescent="0.15">
      <c r="A87" s="78">
        <v>44186</v>
      </c>
      <c r="B87" s="53" t="s">
        <v>192</v>
      </c>
      <c r="D87" s="81" t="s">
        <v>49</v>
      </c>
      <c r="E87" s="6">
        <v>40.130000000000003</v>
      </c>
      <c r="F87" s="6"/>
      <c r="G87" s="6"/>
      <c r="H87" s="6"/>
      <c r="I87" s="43">
        <f>E87+F87+H87</f>
        <v>40.130000000000003</v>
      </c>
    </row>
    <row r="88" spans="1:9" x14ac:dyDescent="0.15">
      <c r="A88" s="78">
        <v>44188</v>
      </c>
      <c r="B88" s="53" t="s">
        <v>155</v>
      </c>
      <c r="D88" s="81" t="s">
        <v>49</v>
      </c>
      <c r="E88" s="6">
        <v>28.58</v>
      </c>
      <c r="F88" s="6"/>
      <c r="G88" s="6"/>
      <c r="H88" s="6"/>
      <c r="I88" s="43">
        <f>E88+F88+H88</f>
        <v>28.58</v>
      </c>
    </row>
    <row r="89" spans="1:9" x14ac:dyDescent="0.15">
      <c r="A89" s="78">
        <v>44194</v>
      </c>
      <c r="B89" s="53" t="s">
        <v>166</v>
      </c>
      <c r="D89" s="81" t="s">
        <v>57</v>
      </c>
      <c r="E89" s="6">
        <v>23.76</v>
      </c>
      <c r="F89" s="6"/>
      <c r="G89" s="6"/>
      <c r="H89" s="6"/>
      <c r="I89" s="43">
        <f>E89+F89+H89</f>
        <v>23.76</v>
      </c>
    </row>
    <row r="90" spans="1:9" x14ac:dyDescent="0.15">
      <c r="A90" s="78">
        <v>44195</v>
      </c>
      <c r="B90" s="53" t="s">
        <v>146</v>
      </c>
      <c r="D90" s="81" t="s">
        <v>70</v>
      </c>
      <c r="E90" s="6">
        <v>19.8</v>
      </c>
      <c r="F90" s="6"/>
      <c r="G90" s="6"/>
      <c r="H90" s="6"/>
      <c r="I90" s="43">
        <f>E90+F90+H90</f>
        <v>19.8</v>
      </c>
    </row>
    <row r="91" spans="1:9" x14ac:dyDescent="0.15">
      <c r="A91" s="78"/>
      <c r="B91" s="53"/>
      <c r="D91" s="81"/>
      <c r="E91" s="6"/>
      <c r="F91" s="6"/>
      <c r="G91" s="6"/>
      <c r="H91" s="6"/>
      <c r="I91" s="43"/>
    </row>
    <row r="92" spans="1:9" x14ac:dyDescent="0.15">
      <c r="A92" s="78"/>
      <c r="B92" s="53"/>
      <c r="D92" s="81"/>
      <c r="E92" s="86">
        <f>SUM(E10:E91)</f>
        <v>10250.109999999997</v>
      </c>
      <c r="I92" s="43">
        <f>E92+F92+H92</f>
        <v>10250.109999999997</v>
      </c>
    </row>
    <row r="93" spans="1:9" x14ac:dyDescent="0.15">
      <c r="A93" s="78"/>
      <c r="B93" s="53"/>
      <c r="D93" s="81"/>
      <c r="E93" s="86"/>
      <c r="I93" s="87"/>
    </row>
    <row r="94" spans="1:9" x14ac:dyDescent="0.15">
      <c r="A94" s="78"/>
      <c r="B94" s="53"/>
      <c r="D94" s="81"/>
      <c r="E94" s="86"/>
      <c r="I94" s="87"/>
    </row>
    <row r="95" spans="1:9" x14ac:dyDescent="0.15">
      <c r="A95" s="42" t="s">
        <v>209</v>
      </c>
      <c r="C95" s="42" t="s">
        <v>49</v>
      </c>
      <c r="D95" s="81"/>
      <c r="E95" s="86"/>
      <c r="I95" s="87"/>
    </row>
    <row r="96" spans="1:9" x14ac:dyDescent="0.15">
      <c r="A96" s="42" t="s">
        <v>23</v>
      </c>
      <c r="C96" s="42" t="s">
        <v>75</v>
      </c>
      <c r="D96" s="81"/>
      <c r="E96" s="86"/>
      <c r="I96" s="87"/>
    </row>
    <row r="97" spans="1:9" x14ac:dyDescent="0.15">
      <c r="A97" s="42" t="s">
        <v>53</v>
      </c>
      <c r="C97" s="42" t="s">
        <v>76</v>
      </c>
      <c r="D97" s="81"/>
      <c r="E97" s="86"/>
      <c r="I97" s="87"/>
    </row>
    <row r="98" spans="1:9" x14ac:dyDescent="0.15">
      <c r="A98" s="42" t="s">
        <v>69</v>
      </c>
      <c r="C98" s="42" t="s">
        <v>74</v>
      </c>
      <c r="D98" s="81"/>
      <c r="E98" s="86"/>
      <c r="I98" s="87"/>
    </row>
    <row r="99" spans="1:9" x14ac:dyDescent="0.15">
      <c r="A99" s="42" t="s">
        <v>64</v>
      </c>
      <c r="C99" s="42" t="s">
        <v>59</v>
      </c>
      <c r="D99" s="81"/>
      <c r="E99" s="86"/>
      <c r="I99" s="87"/>
    </row>
    <row r="100" spans="1:9" x14ac:dyDescent="0.15">
      <c r="A100" s="42" t="s">
        <v>24</v>
      </c>
      <c r="C100" s="42" t="s">
        <v>70</v>
      </c>
      <c r="D100" s="81"/>
      <c r="E100" s="86"/>
      <c r="I100" s="87"/>
    </row>
    <row r="101" spans="1:9" x14ac:dyDescent="0.15">
      <c r="A101" s="42" t="s">
        <v>62</v>
      </c>
      <c r="C101" s="42" t="s">
        <v>11</v>
      </c>
      <c r="D101" s="81"/>
      <c r="E101" s="86"/>
      <c r="I101" s="87"/>
    </row>
    <row r="102" spans="1:9" x14ac:dyDescent="0.15">
      <c r="A102" s="42" t="s">
        <v>35</v>
      </c>
      <c r="C102" s="42" t="s">
        <v>57</v>
      </c>
      <c r="D102" s="81"/>
      <c r="E102" s="86"/>
      <c r="I102" s="87"/>
    </row>
    <row r="103" spans="1:9" x14ac:dyDescent="0.15">
      <c r="A103" s="42"/>
      <c r="C103" s="42"/>
      <c r="D103" s="81"/>
      <c r="E103" s="86"/>
      <c r="I103" s="87"/>
    </row>
    <row r="104" spans="1:9" x14ac:dyDescent="0.15">
      <c r="A104" s="42" t="s">
        <v>25</v>
      </c>
      <c r="C104" s="42" t="s">
        <v>77</v>
      </c>
      <c r="D104" s="81"/>
      <c r="E104" s="86"/>
      <c r="I104" s="87"/>
    </row>
    <row r="105" spans="1:9" x14ac:dyDescent="0.15">
      <c r="A105" s="78"/>
      <c r="B105" s="53"/>
      <c r="D105" s="81"/>
      <c r="E105" s="86"/>
      <c r="I105" s="87"/>
    </row>
    <row r="106" spans="1:9" x14ac:dyDescent="0.15">
      <c r="A106" s="78"/>
      <c r="B106" s="53"/>
      <c r="D106" s="81"/>
      <c r="E106" s="86"/>
      <c r="I106" s="87"/>
    </row>
    <row r="107" spans="1:9" x14ac:dyDescent="0.15">
      <c r="A107" s="78"/>
      <c r="B107" s="53"/>
      <c r="D107" s="81"/>
      <c r="E107" s="86"/>
      <c r="I107" s="87"/>
    </row>
    <row r="108" spans="1:9" x14ac:dyDescent="0.15">
      <c r="A108" s="78"/>
      <c r="B108" s="53"/>
      <c r="D108" s="81"/>
      <c r="E108" s="86"/>
      <c r="I108" s="87"/>
    </row>
    <row r="109" spans="1:9" x14ac:dyDescent="0.15">
      <c r="A109" s="78"/>
      <c r="B109" s="53"/>
      <c r="D109" s="81"/>
      <c r="E109" s="86"/>
      <c r="I109" s="87"/>
    </row>
    <row r="110" spans="1:9" x14ac:dyDescent="0.15">
      <c r="A110" s="78"/>
      <c r="B110" s="53"/>
      <c r="D110" s="81"/>
      <c r="E110" s="86"/>
      <c r="I110" s="87"/>
    </row>
    <row r="111" spans="1:9" x14ac:dyDescent="0.15">
      <c r="A111" s="78"/>
      <c r="B111" s="53"/>
      <c r="D111" s="81"/>
      <c r="E111" s="86"/>
      <c r="I111" s="87"/>
    </row>
    <row r="112" spans="1:9" x14ac:dyDescent="0.15">
      <c r="A112" s="78"/>
      <c r="B112" s="53"/>
      <c r="D112" s="81"/>
      <c r="E112" s="86"/>
      <c r="I112" s="87"/>
    </row>
    <row r="113" spans="1:9" x14ac:dyDescent="0.15">
      <c r="A113" s="78"/>
      <c r="B113" s="53"/>
      <c r="D113" s="81"/>
      <c r="E113" s="86"/>
      <c r="I113" s="87"/>
    </row>
    <row r="114" spans="1:9" x14ac:dyDescent="0.15">
      <c r="A114" s="78"/>
      <c r="B114" s="53"/>
      <c r="D114" s="81"/>
      <c r="E114" s="86"/>
      <c r="I114" s="87"/>
    </row>
    <row r="115" spans="1:9" x14ac:dyDescent="0.15">
      <c r="A115" s="78"/>
      <c r="B115" s="53"/>
      <c r="D115" s="81"/>
      <c r="E115" s="86"/>
      <c r="I115" s="87"/>
    </row>
    <row r="116" spans="1:9" x14ac:dyDescent="0.15">
      <c r="A116" s="78"/>
      <c r="B116" s="53"/>
      <c r="D116" s="81"/>
      <c r="E116" s="86"/>
      <c r="I116" s="87"/>
    </row>
    <row r="117" spans="1:9" x14ac:dyDescent="0.15">
      <c r="A117" s="78"/>
      <c r="B117" s="53"/>
      <c r="D117" s="81"/>
      <c r="E117" s="86"/>
      <c r="I117" s="87"/>
    </row>
    <row r="118" spans="1:9" x14ac:dyDescent="0.15">
      <c r="A118" s="78"/>
      <c r="B118" s="53"/>
      <c r="D118" s="81"/>
      <c r="E118" s="86"/>
      <c r="I118" s="87"/>
    </row>
    <row r="119" spans="1:9" x14ac:dyDescent="0.15">
      <c r="A119" s="78"/>
      <c r="B119" s="53"/>
      <c r="D119" s="81"/>
      <c r="E119" s="86"/>
      <c r="I119" s="87"/>
    </row>
    <row r="120" spans="1:9" x14ac:dyDescent="0.15">
      <c r="A120" s="78"/>
      <c r="B120" s="53"/>
      <c r="D120" s="81"/>
      <c r="E120" s="86"/>
      <c r="I120" s="87"/>
    </row>
    <row r="121" spans="1:9" x14ac:dyDescent="0.15">
      <c r="A121" s="78"/>
      <c r="B121" s="53"/>
      <c r="D121" s="81"/>
      <c r="E121" s="86"/>
      <c r="I121" s="87"/>
    </row>
    <row r="122" spans="1:9" x14ac:dyDescent="0.15">
      <c r="A122" s="78"/>
      <c r="B122" s="53"/>
      <c r="D122" s="81"/>
      <c r="E122" s="86"/>
      <c r="I122" s="87"/>
    </row>
    <row r="123" spans="1:9" x14ac:dyDescent="0.15">
      <c r="A123" s="78"/>
      <c r="B123" s="53"/>
      <c r="D123" s="81"/>
      <c r="E123" s="86"/>
      <c r="I123" s="87"/>
    </row>
    <row r="124" spans="1:9" x14ac:dyDescent="0.15">
      <c r="A124" s="78"/>
      <c r="B124" s="53"/>
      <c r="D124" s="81"/>
      <c r="E124" s="86"/>
      <c r="I124" s="87"/>
    </row>
    <row r="125" spans="1:9" x14ac:dyDescent="0.15">
      <c r="A125" s="78"/>
      <c r="B125" s="88"/>
      <c r="D125" s="81"/>
      <c r="E125" s="84"/>
      <c r="I125" s="87"/>
    </row>
    <row r="126" spans="1:9" x14ac:dyDescent="0.15">
      <c r="A126" s="78"/>
      <c r="B126" s="88"/>
      <c r="D126" s="81"/>
      <c r="E126" s="84"/>
      <c r="I126" s="87"/>
    </row>
    <row r="127" spans="1:9" x14ac:dyDescent="0.15">
      <c r="A127" s="78"/>
      <c r="B127" s="88"/>
      <c r="D127" s="81"/>
      <c r="E127" s="84"/>
      <c r="I127" s="87"/>
    </row>
    <row r="128" spans="1:9" x14ac:dyDescent="0.15">
      <c r="A128" s="78"/>
      <c r="B128" s="88"/>
      <c r="D128" s="81"/>
      <c r="E128" s="86"/>
      <c r="I128" s="87"/>
    </row>
    <row r="129" spans="1:9" x14ac:dyDescent="0.15">
      <c r="A129" s="78"/>
      <c r="B129" s="88"/>
      <c r="D129" s="81"/>
      <c r="E129" s="86"/>
      <c r="I129" s="87"/>
    </row>
    <row r="130" spans="1:9" x14ac:dyDescent="0.15">
      <c r="A130" s="78"/>
      <c r="B130" s="53"/>
      <c r="D130" s="81"/>
      <c r="E130" s="86"/>
      <c r="I130" s="87"/>
    </row>
    <row r="132" spans="1:9" x14ac:dyDescent="0.15">
      <c r="A132" s="85"/>
      <c r="E132" s="6"/>
      <c r="F132" s="6"/>
      <c r="G132" s="6"/>
      <c r="H132" s="6"/>
      <c r="I132" s="43"/>
    </row>
    <row r="133" spans="1:9" x14ac:dyDescent="0.15">
      <c r="E133" s="6"/>
    </row>
    <row r="134" spans="1:9" x14ac:dyDescent="0.15">
      <c r="E134" s="6"/>
    </row>
    <row r="135" spans="1:9" x14ac:dyDescent="0.15">
      <c r="E135" s="6"/>
    </row>
    <row r="136" spans="1:9" x14ac:dyDescent="0.15">
      <c r="E136" s="6"/>
    </row>
    <row r="137" spans="1:9" x14ac:dyDescent="0.15">
      <c r="E137" s="6"/>
    </row>
    <row r="138" spans="1:9" x14ac:dyDescent="0.15">
      <c r="E138" s="6"/>
    </row>
    <row r="139" spans="1:9" x14ac:dyDescent="0.15">
      <c r="E139" s="6"/>
    </row>
    <row r="140" spans="1:9" x14ac:dyDescent="0.15">
      <c r="E140" s="6"/>
    </row>
    <row r="141" spans="1:9" x14ac:dyDescent="0.15">
      <c r="E141" s="6"/>
    </row>
    <row r="142" spans="1:9" x14ac:dyDescent="0.15">
      <c r="E142" s="6"/>
    </row>
    <row r="143" spans="1:9" x14ac:dyDescent="0.15">
      <c r="E143" s="6"/>
    </row>
    <row r="144" spans="1:9" x14ac:dyDescent="0.15">
      <c r="E144" s="6"/>
    </row>
    <row r="145" spans="5:5" x14ac:dyDescent="0.15">
      <c r="E145" s="6"/>
    </row>
    <row r="146" spans="5:5" x14ac:dyDescent="0.15">
      <c r="E146" s="6"/>
    </row>
    <row r="147" spans="5:5" x14ac:dyDescent="0.15">
      <c r="E147" s="6"/>
    </row>
    <row r="148" spans="5:5" x14ac:dyDescent="0.15">
      <c r="E148" s="6"/>
    </row>
    <row r="149" spans="5:5" x14ac:dyDescent="0.15">
      <c r="E149" s="6"/>
    </row>
    <row r="150" spans="5:5" x14ac:dyDescent="0.15">
      <c r="E150" s="6"/>
    </row>
    <row r="151" spans="5:5" x14ac:dyDescent="0.15">
      <c r="E151" s="6"/>
    </row>
    <row r="152" spans="5:5" x14ac:dyDescent="0.15">
      <c r="E152" s="6"/>
    </row>
    <row r="153" spans="5:5" x14ac:dyDescent="0.15">
      <c r="E153" s="6"/>
    </row>
    <row r="154" spans="5:5" x14ac:dyDescent="0.15">
      <c r="E154" s="6"/>
    </row>
    <row r="155" spans="5:5" x14ac:dyDescent="0.15">
      <c r="E155" s="6"/>
    </row>
    <row r="156" spans="5:5" x14ac:dyDescent="0.15">
      <c r="E156" s="6"/>
    </row>
    <row r="157" spans="5:5" x14ac:dyDescent="0.15">
      <c r="E157" s="6"/>
    </row>
    <row r="158" spans="5:5" x14ac:dyDescent="0.15">
      <c r="E158" s="6"/>
    </row>
    <row r="159" spans="5:5" x14ac:dyDescent="0.15">
      <c r="E159" s="6"/>
    </row>
    <row r="160" spans="5:5" x14ac:dyDescent="0.15">
      <c r="E160" s="6"/>
    </row>
    <row r="161" spans="5:5" x14ac:dyDescent="0.15">
      <c r="E161" s="6"/>
    </row>
    <row r="162" spans="5:5" x14ac:dyDescent="0.15">
      <c r="E162" s="6"/>
    </row>
    <row r="163" spans="5:5" x14ac:dyDescent="0.15">
      <c r="E163" s="6"/>
    </row>
    <row r="164" spans="5:5" x14ac:dyDescent="0.15">
      <c r="E164" s="6"/>
    </row>
    <row r="165" spans="5:5" x14ac:dyDescent="0.15">
      <c r="E165" s="6"/>
    </row>
    <row r="166" spans="5:5" x14ac:dyDescent="0.15">
      <c r="E166" s="6"/>
    </row>
    <row r="167" spans="5:5" x14ac:dyDescent="0.15">
      <c r="E167" s="6"/>
    </row>
    <row r="168" spans="5:5" x14ac:dyDescent="0.15">
      <c r="E168" s="6"/>
    </row>
    <row r="169" spans="5:5" x14ac:dyDescent="0.15">
      <c r="E169" s="6"/>
    </row>
    <row r="170" spans="5:5" x14ac:dyDescent="0.15">
      <c r="E170" s="6"/>
    </row>
    <row r="171" spans="5:5" x14ac:dyDescent="0.15">
      <c r="E171" s="6"/>
    </row>
    <row r="172" spans="5:5" x14ac:dyDescent="0.15">
      <c r="E172" s="6"/>
    </row>
    <row r="173" spans="5:5" x14ac:dyDescent="0.15">
      <c r="E173" s="6"/>
    </row>
    <row r="174" spans="5:5" x14ac:dyDescent="0.15">
      <c r="E174" s="6"/>
    </row>
    <row r="175" spans="5:5" x14ac:dyDescent="0.15">
      <c r="E175" s="6"/>
    </row>
    <row r="176" spans="5:5" x14ac:dyDescent="0.15">
      <c r="E176" s="6"/>
    </row>
    <row r="177" spans="5:5" x14ac:dyDescent="0.15">
      <c r="E177" s="6"/>
    </row>
    <row r="178" spans="5:5" x14ac:dyDescent="0.15">
      <c r="E178" s="6"/>
    </row>
    <row r="179" spans="5:5" x14ac:dyDescent="0.15">
      <c r="E179" s="6"/>
    </row>
  </sheetData>
  <mergeCells count="4">
    <mergeCell ref="F7:H7"/>
    <mergeCell ref="A1:I1"/>
    <mergeCell ref="A3:I3"/>
    <mergeCell ref="A5:I5"/>
  </mergeCells>
  <phoneticPr fontId="0" type="noConversion"/>
  <printOptions horizontalCentered="1"/>
  <pageMargins left="0.39000000000000007" right="0.39000000000000007" top="0.43000000000000005" bottom="0.71" header="0.28000000000000003" footer="0.51"/>
  <pageSetup paperSize="9" scale="55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T54"/>
  <sheetViews>
    <sheetView tabSelected="1" topLeftCell="B20" zoomScale="125" zoomScaleNormal="125" zoomScalePageLayoutView="125" workbookViewId="0">
      <selection activeCell="J22" sqref="J22"/>
    </sheetView>
  </sheetViews>
  <sheetFormatPr defaultColWidth="8.76171875" defaultRowHeight="12.75" x14ac:dyDescent="0.15"/>
  <cols>
    <col min="1" max="1" width="3.7734375" customWidth="1"/>
    <col min="2" max="2" width="48.546875" customWidth="1"/>
    <col min="3" max="3" width="3.50390625" customWidth="1"/>
    <col min="4" max="4" width="1.34765625" customWidth="1"/>
    <col min="5" max="5" width="14.15625" customWidth="1"/>
    <col min="6" max="6" width="2.828125" customWidth="1"/>
    <col min="7" max="7" width="2.55859375" customWidth="1"/>
    <col min="8" max="8" width="8.4921875" customWidth="1"/>
    <col min="9" max="9" width="2.42578125" customWidth="1"/>
    <col min="10" max="10" width="10.3828125" customWidth="1"/>
    <col min="11" max="11" width="2.15625" customWidth="1"/>
    <col min="12" max="12" width="12.13671875" customWidth="1"/>
    <col min="13" max="13" width="3.91015625" customWidth="1"/>
    <col min="14" max="14" width="12" style="100" customWidth="1"/>
    <col min="15" max="15" width="10.3828125" style="97" customWidth="1"/>
    <col min="16" max="16" width="11.32421875" style="48" customWidth="1"/>
    <col min="17" max="17" width="12.13671875" style="28" customWidth="1"/>
    <col min="19" max="19" width="12.13671875" customWidth="1"/>
  </cols>
  <sheetData>
    <row r="1" spans="1:20" ht="24.95" customHeight="1" x14ac:dyDescent="0.15">
      <c r="B1" s="129" t="s">
        <v>207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99"/>
      <c r="O1" s="96"/>
    </row>
    <row r="2" spans="1:20" ht="9" customHeight="1" x14ac:dyDescent="0.2">
      <c r="A2" s="4"/>
      <c r="B2" s="49"/>
      <c r="C2" s="49"/>
      <c r="D2" s="50"/>
      <c r="E2" s="50"/>
      <c r="F2" s="50"/>
      <c r="G2" s="50"/>
      <c r="H2" s="50"/>
      <c r="I2" s="50"/>
      <c r="J2" s="50"/>
      <c r="K2" s="50"/>
      <c r="L2" s="49"/>
      <c r="M2" s="5"/>
    </row>
    <row r="3" spans="1:20" ht="18" customHeight="1" x14ac:dyDescent="0.15">
      <c r="A3" s="20" t="s">
        <v>88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8"/>
      <c r="P3" s="98"/>
      <c r="Q3" s="31"/>
    </row>
    <row r="5" spans="1:20" x14ac:dyDescent="0.15">
      <c r="A5" s="1"/>
      <c r="B5" s="1" t="s">
        <v>2</v>
      </c>
      <c r="C5" s="1"/>
      <c r="E5" s="17" t="s">
        <v>0</v>
      </c>
      <c r="F5" s="1"/>
      <c r="G5" s="41"/>
      <c r="H5" s="132" t="s">
        <v>1</v>
      </c>
      <c r="I5" s="132"/>
      <c r="J5" s="132"/>
      <c r="K5" s="18"/>
      <c r="L5" s="17" t="s">
        <v>16</v>
      </c>
      <c r="N5" s="102">
        <v>2019</v>
      </c>
      <c r="O5" s="113">
        <v>2018</v>
      </c>
      <c r="P5" s="108">
        <v>2017</v>
      </c>
      <c r="Q5" s="32" t="s">
        <v>54</v>
      </c>
    </row>
    <row r="6" spans="1:20" x14ac:dyDescent="0.15">
      <c r="E6" s="7" t="s">
        <v>4</v>
      </c>
      <c r="F6" s="1"/>
      <c r="G6" s="1"/>
      <c r="H6" s="7" t="s">
        <v>5</v>
      </c>
      <c r="I6" s="7"/>
      <c r="J6" s="127" t="s">
        <v>66</v>
      </c>
      <c r="N6" s="103"/>
      <c r="P6" s="53"/>
    </row>
    <row r="7" spans="1:20" x14ac:dyDescent="0.15">
      <c r="E7" s="3" t="s">
        <v>9</v>
      </c>
      <c r="F7" s="3"/>
      <c r="G7" s="3"/>
      <c r="H7" s="3" t="s">
        <v>9</v>
      </c>
      <c r="I7" s="3"/>
      <c r="J7" s="3" t="s">
        <v>9</v>
      </c>
      <c r="K7" s="2"/>
      <c r="L7" s="3" t="s">
        <v>9</v>
      </c>
      <c r="N7" s="104" t="s">
        <v>9</v>
      </c>
      <c r="O7" s="113" t="s">
        <v>9</v>
      </c>
      <c r="P7" s="109" t="s">
        <v>9</v>
      </c>
    </row>
    <row r="8" spans="1:20" ht="14.25" x14ac:dyDescent="0.15">
      <c r="A8" s="12" t="s">
        <v>17</v>
      </c>
      <c r="N8" s="103"/>
      <c r="P8" s="86"/>
    </row>
    <row r="9" spans="1:20" x14ac:dyDescent="0.15">
      <c r="B9" t="s">
        <v>86</v>
      </c>
      <c r="C9" t="s">
        <v>10</v>
      </c>
      <c r="E9" s="8">
        <f>SUMIF(Income!C10:C83,"HH",Income!E10:E83)</f>
        <v>4088</v>
      </c>
      <c r="H9" s="8">
        <f>SUMIF(Income!$C$10:$C$83,"HH",Income!$G$10:$G$83)</f>
        <v>0</v>
      </c>
      <c r="I9" s="8"/>
      <c r="J9" s="8">
        <v>0</v>
      </c>
      <c r="L9" s="9">
        <f>E9+H9+J9</f>
        <v>4088</v>
      </c>
      <c r="M9" s="45"/>
      <c r="N9" s="105">
        <v>9211.08</v>
      </c>
      <c r="O9" s="114">
        <v>4752</v>
      </c>
      <c r="P9" s="118">
        <v>6594.5</v>
      </c>
      <c r="Q9" s="37"/>
    </row>
    <row r="10" spans="1:20" x14ac:dyDescent="0.15">
      <c r="B10" t="s">
        <v>61</v>
      </c>
      <c r="C10" t="s">
        <v>11</v>
      </c>
      <c r="E10" s="8">
        <f>SUMIF(Income!$C$10:$C$83,"FR",Income!$E$10:$E$83)</f>
        <v>1457.9</v>
      </c>
      <c r="H10" s="8">
        <f>SUMIF(Income!$C$10:$C$83,"FR",Income!$G$10:$G$83)</f>
        <v>0</v>
      </c>
      <c r="I10" s="8"/>
      <c r="J10" s="8">
        <f>SUMIF(Income!$C$10:$C$83,"FR",Income!$I$10:$I$83)</f>
        <v>0</v>
      </c>
      <c r="L10" s="9">
        <f t="shared" ref="L10:L17" si="0">E10+H10+J10</f>
        <v>1457.9</v>
      </c>
      <c r="N10" s="106">
        <v>1923.62</v>
      </c>
      <c r="O10" s="115">
        <v>1349.4</v>
      </c>
      <c r="P10" s="118">
        <v>398.65</v>
      </c>
      <c r="Q10" s="37"/>
    </row>
    <row r="11" spans="1:20" x14ac:dyDescent="0.15">
      <c r="B11" s="19" t="s">
        <v>32</v>
      </c>
      <c r="C11" t="s">
        <v>72</v>
      </c>
      <c r="E11" s="8">
        <f>SUMIF(Income!$C$10:$C$83,"2C",Income!$E$10:$E$83)</f>
        <v>0</v>
      </c>
      <c r="H11" s="8">
        <f>SUMIF(Income!$C$10:$C$83,"2C",Income!$G$10:$G$83)</f>
        <v>0</v>
      </c>
      <c r="I11" s="8"/>
      <c r="J11" s="8">
        <v>0</v>
      </c>
      <c r="L11" s="9">
        <f t="shared" si="0"/>
        <v>0</v>
      </c>
      <c r="N11" s="106">
        <v>710</v>
      </c>
      <c r="O11" s="115">
        <v>1150</v>
      </c>
      <c r="P11" s="118">
        <v>750</v>
      </c>
      <c r="Q11" s="37"/>
    </row>
    <row r="12" spans="1:20" x14ac:dyDescent="0.15">
      <c r="A12" s="45" t="s">
        <v>68</v>
      </c>
      <c r="B12" s="19" t="s">
        <v>83</v>
      </c>
      <c r="C12" t="s">
        <v>84</v>
      </c>
      <c r="E12" s="8">
        <f>SUMIF(Income!$C$10:$C$83,"LH",Income!$E$10:$E$83)</f>
        <v>0</v>
      </c>
      <c r="H12" s="8">
        <f>SUMIF(Income!$C$10:$C$83,"CB",Income!$G$10:$G$83)</f>
        <v>0</v>
      </c>
      <c r="I12" s="8"/>
      <c r="J12" s="8">
        <v>0</v>
      </c>
      <c r="L12" s="9">
        <f t="shared" si="0"/>
        <v>0</v>
      </c>
      <c r="M12" s="45"/>
      <c r="N12" s="105"/>
      <c r="O12" s="114">
        <v>830</v>
      </c>
      <c r="P12" s="118">
        <v>372.4</v>
      </c>
      <c r="Q12" s="37"/>
    </row>
    <row r="13" spans="1:20" x14ac:dyDescent="0.15">
      <c r="B13" t="s">
        <v>19</v>
      </c>
      <c r="C13" t="s">
        <v>73</v>
      </c>
      <c r="E13" s="8">
        <f>SUMIF(Income!$C$10:$C$83,"BB",Income!$E$10:$E$83)</f>
        <v>0</v>
      </c>
      <c r="H13" s="8">
        <f>SUMIF(Income!$C$10:$C$83,"BB",Income!$G$10:$G$83)</f>
        <v>0</v>
      </c>
      <c r="I13" s="8"/>
      <c r="J13" s="8">
        <v>0</v>
      </c>
      <c r="L13" s="9">
        <f t="shared" si="0"/>
        <v>0</v>
      </c>
      <c r="N13" s="106">
        <v>238.91</v>
      </c>
      <c r="O13" s="115">
        <v>403.52</v>
      </c>
      <c r="P13" s="118">
        <v>615.98</v>
      </c>
      <c r="Q13" s="37"/>
    </row>
    <row r="14" spans="1:20" x14ac:dyDescent="0.15">
      <c r="B14" t="s">
        <v>22</v>
      </c>
      <c r="C14" t="s">
        <v>58</v>
      </c>
      <c r="E14" s="8">
        <f>SUMIF(Income!$C$10:$C$83,"BI",Income!$E$10:$E$83)</f>
        <v>0</v>
      </c>
      <c r="H14" s="8">
        <f>SUMIF(Income!$C$10:$C$83,"BI",Income!$G$10:$G$83)</f>
        <v>0</v>
      </c>
      <c r="I14" s="8"/>
      <c r="J14" s="8">
        <v>0</v>
      </c>
      <c r="L14" s="9">
        <f t="shared" si="0"/>
        <v>0</v>
      </c>
      <c r="N14" s="106"/>
      <c r="O14" s="115"/>
      <c r="P14" s="119"/>
      <c r="Q14" s="37"/>
    </row>
    <row r="15" spans="1:20" x14ac:dyDescent="0.15">
      <c r="B15" t="s">
        <v>18</v>
      </c>
      <c r="C15" t="s">
        <v>78</v>
      </c>
      <c r="E15" s="8">
        <f>SUMIF(Income!$C$10:$C$83,"CW",Income!$E$10:$E$83)</f>
        <v>0</v>
      </c>
      <c r="H15" s="8">
        <f>SUMIF(Income!$C$10:$C$83,"CW",Income!$G$10:$G$83)</f>
        <v>0</v>
      </c>
      <c r="I15" s="8"/>
      <c r="J15" s="8">
        <v>0</v>
      </c>
      <c r="L15" s="9">
        <f t="shared" si="0"/>
        <v>0</v>
      </c>
      <c r="N15" s="106">
        <v>121.88</v>
      </c>
      <c r="O15" s="115">
        <v>265.92</v>
      </c>
      <c r="P15" s="119">
        <v>167.17</v>
      </c>
      <c r="Q15" s="91"/>
    </row>
    <row r="16" spans="1:20" x14ac:dyDescent="0.15">
      <c r="B16" t="s">
        <v>51</v>
      </c>
      <c r="C16" t="s">
        <v>79</v>
      </c>
      <c r="E16" s="8">
        <f>SUMIF(Income!$C$10:$C$83,"G",Income!$E$10:$E$83)</f>
        <v>11901.07</v>
      </c>
      <c r="H16" s="8">
        <f>SUMIF(Income!$C$10:$C$83,"G",Income!$G$10:$G$83)</f>
        <v>0</v>
      </c>
      <c r="I16" s="8"/>
      <c r="J16" s="8">
        <f>SUMIF(Income!$C$10:$C$83,"G",Income!$I$10:$I$83)</f>
        <v>0</v>
      </c>
      <c r="L16" s="9">
        <f t="shared" si="0"/>
        <v>11901.07</v>
      </c>
      <c r="N16" s="106"/>
      <c r="O16" s="115"/>
      <c r="P16" s="118"/>
      <c r="Q16" s="37"/>
      <c r="T16" s="52"/>
    </row>
    <row r="17" spans="1:18" x14ac:dyDescent="0.15">
      <c r="B17" t="s">
        <v>21</v>
      </c>
      <c r="C17" t="s">
        <v>77</v>
      </c>
      <c r="E17" s="8">
        <f>SUMIF(Income!$C$10:$C$83,"M",Income!$E$10:$E$83)</f>
        <v>706.37</v>
      </c>
      <c r="H17" s="8">
        <f>SUMIF(Income!$C$10:$C$83,"M",Income!$G$10:$G$83)</f>
        <v>0</v>
      </c>
      <c r="I17" s="8"/>
      <c r="J17" s="8">
        <v>0</v>
      </c>
      <c r="L17" s="9">
        <f t="shared" si="0"/>
        <v>706.37</v>
      </c>
      <c r="N17" s="106">
        <v>175</v>
      </c>
      <c r="O17" s="115">
        <v>93</v>
      </c>
      <c r="P17" s="118"/>
      <c r="Q17" s="38"/>
    </row>
    <row r="18" spans="1:18" x14ac:dyDescent="0.15">
      <c r="E18" s="10"/>
      <c r="H18" s="13"/>
      <c r="I18" s="42"/>
      <c r="J18" s="13"/>
      <c r="L18" s="11"/>
      <c r="M18" t="s">
        <v>80</v>
      </c>
      <c r="N18" s="106"/>
      <c r="O18" s="115"/>
      <c r="P18" s="120"/>
      <c r="Q18" s="39"/>
    </row>
    <row r="19" spans="1:18" x14ac:dyDescent="0.15">
      <c r="B19" t="s">
        <v>7</v>
      </c>
      <c r="E19" s="8">
        <f>SUM(E9:E18)</f>
        <v>18153.34</v>
      </c>
      <c r="H19" s="8">
        <f>SUM(H9:H18)</f>
        <v>0</v>
      </c>
      <c r="I19" s="8"/>
      <c r="J19" s="8">
        <f>SUM(J9:J18)</f>
        <v>0</v>
      </c>
      <c r="L19" s="9">
        <f>SUM(L9:L18)</f>
        <v>18153.34</v>
      </c>
      <c r="N19" s="107">
        <f>SUM(N9:N18)</f>
        <v>12380.49</v>
      </c>
      <c r="O19" s="116">
        <f>SUM(O9:O18)</f>
        <v>8843.84</v>
      </c>
      <c r="P19" s="121">
        <f>SUM(P9:P18)</f>
        <v>8898.6999999999989</v>
      </c>
      <c r="Q19" s="38"/>
    </row>
    <row r="20" spans="1:18" x14ac:dyDescent="0.15">
      <c r="E20" s="8"/>
      <c r="N20" s="106"/>
      <c r="O20" s="117"/>
      <c r="P20" s="122"/>
      <c r="Q20" s="39"/>
    </row>
    <row r="21" spans="1:18" ht="6.75" customHeight="1" x14ac:dyDescent="0.15">
      <c r="E21" s="8"/>
      <c r="N21" s="106"/>
      <c r="O21" s="115"/>
      <c r="P21" s="122"/>
      <c r="Q21" s="39"/>
    </row>
    <row r="22" spans="1:18" ht="14.25" x14ac:dyDescent="0.15">
      <c r="A22" s="12" t="s">
        <v>15</v>
      </c>
      <c r="E22" s="8"/>
      <c r="N22" s="106"/>
      <c r="O22" s="115"/>
      <c r="P22" s="122"/>
      <c r="Q22" s="39"/>
    </row>
    <row r="23" spans="1:18" x14ac:dyDescent="0.15">
      <c r="B23" t="s">
        <v>33</v>
      </c>
      <c r="C23" t="s">
        <v>49</v>
      </c>
      <c r="E23" s="8">
        <f>SUMIF(Expenditure!$D$10:$D$133,"U",Expenditure!$E$10:$E$133)</f>
        <v>2460.1</v>
      </c>
      <c r="H23" s="8">
        <f>SUMIF(Expenditure!$D$10:$D$91,"U",Expenditure!F$10:F$91)</f>
        <v>0</v>
      </c>
      <c r="I23" s="8"/>
      <c r="J23" s="8">
        <v>0</v>
      </c>
      <c r="L23" s="9">
        <f>E23+H23+J23</f>
        <v>2460.1</v>
      </c>
      <c r="N23" s="106">
        <v>3424.57</v>
      </c>
      <c r="O23" s="115">
        <v>2509.75</v>
      </c>
      <c r="P23" s="123">
        <v>2148.09</v>
      </c>
      <c r="Q23" s="37"/>
      <c r="R23" s="9"/>
    </row>
    <row r="24" spans="1:18" x14ac:dyDescent="0.15">
      <c r="B24" t="s">
        <v>23</v>
      </c>
      <c r="C24" t="s">
        <v>75</v>
      </c>
      <c r="E24" s="8">
        <f>SUMIF(Expenditure!$D$10:$D$133,"IN",Expenditure!$E$10:$E$133)</f>
        <v>1524.86</v>
      </c>
      <c r="H24" s="8">
        <f>SUMIF(Expenditure!$D$10:$D$91,"IN",Expenditure!F$10:F$91)</f>
        <v>0</v>
      </c>
      <c r="I24" s="8"/>
      <c r="J24" s="8">
        <v>0</v>
      </c>
      <c r="L24" s="9">
        <f t="shared" ref="L24:L31" si="1">E24+H24+J24</f>
        <v>1524.86</v>
      </c>
      <c r="N24" s="106">
        <v>1524.02</v>
      </c>
      <c r="O24" s="115">
        <v>909.98</v>
      </c>
      <c r="P24" s="123">
        <v>878.23</v>
      </c>
      <c r="Q24" s="37"/>
      <c r="R24" s="9"/>
    </row>
    <row r="25" spans="1:18" x14ac:dyDescent="0.15">
      <c r="B25" t="s">
        <v>53</v>
      </c>
      <c r="C25" t="s">
        <v>76</v>
      </c>
      <c r="E25" s="8">
        <f>SUMIF(Expenditure!$D$10:$D$133,"GC",Expenditure!$E$10:$E$133)</f>
        <v>0</v>
      </c>
      <c r="H25" s="8">
        <f>SUMIF(Expenditure!$D$10:$D$91,"GC",Expenditure!F$10:F$91)</f>
        <v>0</v>
      </c>
      <c r="I25" s="8"/>
      <c r="J25" s="8">
        <v>0</v>
      </c>
      <c r="L25" s="9">
        <f t="shared" si="1"/>
        <v>0</v>
      </c>
      <c r="N25" s="106">
        <v>96</v>
      </c>
      <c r="O25" s="115"/>
      <c r="P25" s="124"/>
      <c r="Q25" s="37"/>
      <c r="R25" s="9"/>
    </row>
    <row r="26" spans="1:18" x14ac:dyDescent="0.15">
      <c r="B26" t="s">
        <v>69</v>
      </c>
      <c r="C26" t="s">
        <v>74</v>
      </c>
      <c r="E26" s="8">
        <f>SUMIF(Expenditure!$D$10:$D$133,"I",Expenditure!$E$10:$E$133)</f>
        <v>294.27999999999997</v>
      </c>
      <c r="H26" s="8"/>
      <c r="I26" s="8"/>
      <c r="J26" s="8">
        <v>0</v>
      </c>
      <c r="L26" s="9">
        <f t="shared" si="1"/>
        <v>294.27999999999997</v>
      </c>
      <c r="N26" s="106">
        <v>146.16</v>
      </c>
      <c r="O26" s="115">
        <v>107.16</v>
      </c>
      <c r="P26" s="123">
        <v>186.96</v>
      </c>
      <c r="Q26" s="37"/>
      <c r="R26" s="9"/>
    </row>
    <row r="27" spans="1:18" x14ac:dyDescent="0.15">
      <c r="B27" s="36" t="s">
        <v>64</v>
      </c>
      <c r="C27" t="s">
        <v>59</v>
      </c>
      <c r="E27" s="8">
        <f>SUMIF(Expenditure!$D$10:$D$133,"R",Expenditure!$E$10:$E$133)</f>
        <v>4107.3899999999994</v>
      </c>
      <c r="H27" s="8"/>
      <c r="I27" s="8"/>
      <c r="J27" s="8">
        <f>SUMIF(Expenditure!$D$10:$D$91,"R",Expenditure!H$10:H$91)</f>
        <v>0</v>
      </c>
      <c r="L27" s="9">
        <f t="shared" si="1"/>
        <v>4107.3899999999994</v>
      </c>
      <c r="N27" s="106">
        <v>10699.87</v>
      </c>
      <c r="O27" s="115">
        <v>2333.25</v>
      </c>
      <c r="P27" s="123">
        <v>7041.78</v>
      </c>
      <c r="Q27" s="37"/>
      <c r="R27" s="9"/>
    </row>
    <row r="28" spans="1:18" x14ac:dyDescent="0.15">
      <c r="B28" t="s">
        <v>24</v>
      </c>
      <c r="C28" t="s">
        <v>70</v>
      </c>
      <c r="E28" s="8">
        <f>SUMIF(Expenditure!$D$10:$D$133,"S",Expenditure!$E$10:$E$133)</f>
        <v>526.73000000000013</v>
      </c>
      <c r="H28" s="8">
        <f>SUMIF(Expenditure!$D$10:$D$91,"GC",Expenditure!F$10:F$91)</f>
        <v>0</v>
      </c>
      <c r="I28" s="8"/>
      <c r="J28" s="8">
        <v>0</v>
      </c>
      <c r="L28" s="9">
        <f t="shared" si="1"/>
        <v>526.73000000000013</v>
      </c>
      <c r="N28" s="106">
        <v>427.94</v>
      </c>
      <c r="O28" s="115">
        <v>263.06</v>
      </c>
      <c r="P28" s="123">
        <v>213.55</v>
      </c>
      <c r="Q28" s="37"/>
      <c r="R28" s="9"/>
    </row>
    <row r="29" spans="1:18" x14ac:dyDescent="0.15">
      <c r="B29" t="s">
        <v>62</v>
      </c>
      <c r="C29" t="s">
        <v>11</v>
      </c>
      <c r="E29" s="8">
        <f>SUMIF(Expenditure!$D$10:$D$133,"FR",Expenditure!$E$10:$E$133)</f>
        <v>678.78</v>
      </c>
      <c r="H29" s="8">
        <f>SUMIF(Expenditure!$D$10:$D$91,"FR",Expenditure!F$10:F$91)</f>
        <v>0</v>
      </c>
      <c r="I29" s="8"/>
      <c r="J29" s="8">
        <v>0</v>
      </c>
      <c r="L29" s="9">
        <f t="shared" si="1"/>
        <v>678.78</v>
      </c>
      <c r="N29" s="106">
        <v>1063.67</v>
      </c>
      <c r="O29" s="115">
        <v>835.93</v>
      </c>
      <c r="P29" s="125" t="s">
        <v>81</v>
      </c>
      <c r="Q29" s="37"/>
      <c r="R29" s="9"/>
    </row>
    <row r="30" spans="1:18" x14ac:dyDescent="0.15">
      <c r="B30" t="s">
        <v>35</v>
      </c>
      <c r="C30" t="s">
        <v>57</v>
      </c>
      <c r="E30" s="8">
        <f>SUMIF(Expenditure!$D$10:$D$133,"RS",Expenditure!$E$10:$E$133)</f>
        <v>242.95999999999998</v>
      </c>
      <c r="H30" s="8">
        <f>SUMIF(Expenditure!$D$10:$D$91,"RS",Expenditure!F$10:F$91)</f>
        <v>0</v>
      </c>
      <c r="I30" s="8"/>
      <c r="J30" s="8">
        <v>0</v>
      </c>
      <c r="L30" s="9">
        <f t="shared" si="1"/>
        <v>242.95999999999998</v>
      </c>
      <c r="N30" s="106">
        <v>192.59</v>
      </c>
      <c r="O30" s="115">
        <v>240.27</v>
      </c>
      <c r="P30" s="123">
        <v>401.28</v>
      </c>
      <c r="Q30" s="37"/>
      <c r="R30" s="9"/>
    </row>
    <row r="31" spans="1:18" x14ac:dyDescent="0.15">
      <c r="B31" t="s">
        <v>25</v>
      </c>
      <c r="C31" t="s">
        <v>77</v>
      </c>
      <c r="E31" s="8">
        <f>SUMIF(Expenditure!$D$10:$D$133,"M",Expenditure!$E$10:$E$133)</f>
        <v>415.01</v>
      </c>
      <c r="H31" s="8">
        <f>SUMIF(Expenditure!$D$10:$D$91,"M",Expenditure!F$10:F$91)</f>
        <v>0</v>
      </c>
      <c r="I31" s="8"/>
      <c r="J31" s="8">
        <v>0</v>
      </c>
      <c r="L31" s="9">
        <f t="shared" si="1"/>
        <v>415.01</v>
      </c>
      <c r="N31" s="106">
        <v>3017.55</v>
      </c>
      <c r="O31" s="115">
        <v>272.82</v>
      </c>
      <c r="P31" s="126">
        <v>366.69</v>
      </c>
      <c r="Q31" s="37"/>
      <c r="R31" s="9"/>
    </row>
    <row r="32" spans="1:18" x14ac:dyDescent="0.15">
      <c r="E32" s="8"/>
      <c r="L32" s="9"/>
      <c r="N32" s="106"/>
      <c r="O32" s="115"/>
      <c r="P32" s="120"/>
    </row>
    <row r="33" spans="1:18" x14ac:dyDescent="0.15">
      <c r="E33" s="13"/>
      <c r="H33" s="13"/>
      <c r="I33" s="42"/>
      <c r="J33" s="13"/>
      <c r="L33" s="11"/>
      <c r="N33" s="106"/>
      <c r="O33" s="115"/>
      <c r="P33" s="120"/>
      <c r="Q33" s="33"/>
    </row>
    <row r="34" spans="1:18" x14ac:dyDescent="0.15">
      <c r="B34" t="s">
        <v>13</v>
      </c>
      <c r="E34" s="9">
        <f>SUM(E23:E33)</f>
        <v>10250.109999999999</v>
      </c>
      <c r="H34" s="9">
        <f>SUM(H26:H33)</f>
        <v>0</v>
      </c>
      <c r="I34" s="9"/>
      <c r="J34" s="9">
        <f>SUM(J23:J33)</f>
        <v>0</v>
      </c>
      <c r="L34" s="9">
        <f>SUM(L23:L33)</f>
        <v>10250.109999999999</v>
      </c>
      <c r="N34" s="107">
        <f>SUM(N23:N33)</f>
        <v>20592.370000000003</v>
      </c>
      <c r="O34" s="116">
        <f>SUM(O23:O33)</f>
        <v>7472.22</v>
      </c>
      <c r="P34" s="121">
        <f>SUM(P23:P33)</f>
        <v>11236.58</v>
      </c>
      <c r="Q34" s="33"/>
    </row>
    <row r="35" spans="1:18" x14ac:dyDescent="0.15">
      <c r="N35" s="101"/>
      <c r="P35" s="111"/>
    </row>
    <row r="36" spans="1:18" x14ac:dyDescent="0.15">
      <c r="A36" t="s">
        <v>26</v>
      </c>
      <c r="E36" s="9"/>
      <c r="H36" s="9"/>
      <c r="I36" s="9"/>
      <c r="J36" s="9"/>
      <c r="L36" s="9">
        <f>L19-L34</f>
        <v>7903.2300000000014</v>
      </c>
      <c r="P36" s="112"/>
      <c r="Q36" s="33"/>
    </row>
    <row r="37" spans="1:18" ht="9.75" customHeight="1" x14ac:dyDescent="0.15">
      <c r="P37" s="111"/>
    </row>
    <row r="38" spans="1:18" x14ac:dyDescent="0.15">
      <c r="A38" s="48" t="s">
        <v>208</v>
      </c>
      <c r="E38" s="46"/>
      <c r="F38" s="36"/>
      <c r="G38" s="36"/>
      <c r="H38" s="46"/>
      <c r="I38" s="46"/>
      <c r="J38" s="46"/>
      <c r="K38" s="36"/>
      <c r="L38" s="44">
        <v>5763.76</v>
      </c>
      <c r="P38" s="84"/>
      <c r="Q38"/>
    </row>
    <row r="39" spans="1:18" ht="10.5" customHeight="1" thickBot="1" x14ac:dyDescent="0.2">
      <c r="P39" s="110"/>
    </row>
    <row r="40" spans="1:18" ht="13.5" thickBot="1" x14ac:dyDescent="0.2">
      <c r="A40" s="48"/>
      <c r="B40" s="95"/>
      <c r="E40" s="14">
        <f>SUM(L40-J40-H40)</f>
        <v>13666.990000000002</v>
      </c>
      <c r="H40" s="14"/>
      <c r="I40" s="43"/>
      <c r="J40" s="14"/>
      <c r="L40" s="16">
        <f>SUM(L36:L38)</f>
        <v>13666.990000000002</v>
      </c>
      <c r="P40" s="112"/>
    </row>
    <row r="42" spans="1:18" ht="13.5" x14ac:dyDescent="0.15">
      <c r="A42" s="21" t="s">
        <v>27</v>
      </c>
    </row>
    <row r="43" spans="1:18" ht="6" customHeight="1" thickBot="1" x14ac:dyDescent="0.2"/>
    <row r="44" spans="1:18" ht="14.25" thickBot="1" x14ac:dyDescent="0.2">
      <c r="A44" t="s">
        <v>28</v>
      </c>
      <c r="E44" s="16">
        <f>L40</f>
        <v>13666.990000000002</v>
      </c>
      <c r="H44" s="29"/>
      <c r="I44" s="29"/>
      <c r="J44" s="29"/>
    </row>
    <row r="45" spans="1:18" ht="12.75" customHeight="1" x14ac:dyDescent="0.15">
      <c r="A45" s="15" t="s">
        <v>29</v>
      </c>
      <c r="E45" s="6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</row>
    <row r="46" spans="1:18" ht="13.5" thickBot="1" x14ac:dyDescent="0.2">
      <c r="A46" s="15" t="s">
        <v>34</v>
      </c>
      <c r="E46" s="47">
        <v>0</v>
      </c>
      <c r="F46" s="19"/>
      <c r="G46" s="19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</row>
    <row r="47" spans="1:18" ht="13.5" thickBot="1" x14ac:dyDescent="0.2">
      <c r="E47" s="30">
        <f>E44</f>
        <v>13666.990000000002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18" x14ac:dyDescent="0.15"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49" spans="1:17" x14ac:dyDescent="0.15">
      <c r="A49" s="19"/>
      <c r="E49" t="s">
        <v>210</v>
      </c>
      <c r="I49" s="28"/>
      <c r="Q49"/>
    </row>
    <row r="50" spans="1:17" ht="13.5" customHeight="1" x14ac:dyDescent="0.15">
      <c r="A50" s="19"/>
      <c r="E50" t="s">
        <v>211</v>
      </c>
      <c r="I50" s="28"/>
      <c r="Q50"/>
    </row>
    <row r="51" spans="1:17" x14ac:dyDescent="0.15">
      <c r="I51" s="28"/>
      <c r="Q51"/>
    </row>
    <row r="52" spans="1:17" ht="11.25" customHeight="1" x14ac:dyDescent="0.15">
      <c r="B52" s="40"/>
      <c r="E52" s="9" t="s">
        <v>6</v>
      </c>
      <c r="F52" s="9"/>
      <c r="G52" s="9"/>
    </row>
    <row r="53" spans="1:17" x14ac:dyDescent="0.15">
      <c r="B53" s="36"/>
      <c r="E53" s="8"/>
    </row>
    <row r="54" spans="1:17" x14ac:dyDescent="0.15">
      <c r="E54" s="8"/>
    </row>
  </sheetData>
  <mergeCells count="3">
    <mergeCell ref="H45:R48"/>
    <mergeCell ref="H5:J5"/>
    <mergeCell ref="B1:M1"/>
  </mergeCells>
  <phoneticPr fontId="0" type="noConversion"/>
  <conditionalFormatting sqref="Q32:Q34">
    <cfRule type="cellIs" dxfId="3" priority="8" stopIfTrue="1" operator="lessThan">
      <formula>0</formula>
    </cfRule>
    <cfRule type="cellIs" dxfId="2" priority="9" stopIfTrue="1" operator="greaterThan">
      <formula>0</formula>
    </cfRule>
  </conditionalFormatting>
  <conditionalFormatting sqref="H47:J47">
    <cfRule type="cellIs" dxfId="1" priority="7" stopIfTrue="1" operator="notEqual">
      <formula>0</formula>
    </cfRule>
  </conditionalFormatting>
  <conditionalFormatting sqref="E46">
    <cfRule type="cellIs" dxfId="0" priority="1" operator="lessThan">
      <formula>0</formula>
    </cfRule>
  </conditionalFormatting>
  <printOptions horizontalCentered="1" verticalCentered="1"/>
  <pageMargins left="0.51" right="0.39000000000000007" top="0.39000000000000007" bottom="0.43000000000000005" header="0.35000000000000003" footer="0.35000000000000003"/>
  <pageSetup paperSize="9" scale="73" orientation="landscape" horizontalDpi="4294967293" verticalDpi="4294967293"/>
  <headerFooter alignWithMargins="0">
    <oddFooter>&amp;C&amp;K000000Prepared by Dave Webb 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31"/>
  <sheetViews>
    <sheetView topLeftCell="A36" workbookViewId="0">
      <selection activeCell="C31" sqref="C31"/>
    </sheetView>
  </sheetViews>
  <sheetFormatPr defaultColWidth="8.76171875" defaultRowHeight="13.5" x14ac:dyDescent="0.15"/>
  <cols>
    <col min="1" max="1" width="10.3828125" style="22" customWidth="1"/>
    <col min="2" max="2" width="8.76171875" style="22"/>
    <col min="3" max="3" width="11.4609375" style="22" bestFit="1" customWidth="1"/>
    <col min="4" max="4" width="12.13671875" style="22" bestFit="1" customWidth="1"/>
    <col min="5" max="16384" width="8.76171875" style="22"/>
  </cols>
  <sheetData>
    <row r="1" spans="1:4" x14ac:dyDescent="0.15">
      <c r="A1" s="22" t="s">
        <v>45</v>
      </c>
    </row>
    <row r="3" spans="1:4" x14ac:dyDescent="0.15">
      <c r="A3" s="22" t="s">
        <v>41</v>
      </c>
    </row>
    <row r="5" spans="1:4" x14ac:dyDescent="0.15">
      <c r="A5" s="22" t="s">
        <v>42</v>
      </c>
      <c r="C5" s="22">
        <v>200</v>
      </c>
    </row>
    <row r="6" spans="1:4" x14ac:dyDescent="0.15">
      <c r="A6" s="22" t="s">
        <v>40</v>
      </c>
      <c r="C6" s="23">
        <f>0.25*52*C5</f>
        <v>2600</v>
      </c>
    </row>
    <row r="8" spans="1:4" x14ac:dyDescent="0.15">
      <c r="A8" s="22" t="s">
        <v>36</v>
      </c>
      <c r="C8" s="22" t="s">
        <v>38</v>
      </c>
    </row>
    <row r="9" spans="1:4" x14ac:dyDescent="0.15">
      <c r="A9" s="22" t="s">
        <v>37</v>
      </c>
    </row>
    <row r="10" spans="1:4" x14ac:dyDescent="0.15">
      <c r="A10" s="22">
        <v>5</v>
      </c>
      <c r="C10" s="23">
        <f>52*A10</f>
        <v>260</v>
      </c>
      <c r="D10" s="23"/>
    </row>
    <row r="11" spans="1:4" x14ac:dyDescent="0.15">
      <c r="A11" s="22">
        <v>10</v>
      </c>
      <c r="C11" s="23">
        <f>52*A11</f>
        <v>520</v>
      </c>
      <c r="D11" s="23"/>
    </row>
    <row r="12" spans="1:4" x14ac:dyDescent="0.15">
      <c r="C12" s="23"/>
      <c r="D12" s="23"/>
    </row>
    <row r="13" spans="1:4" x14ac:dyDescent="0.15">
      <c r="A13" s="25" t="s">
        <v>44</v>
      </c>
      <c r="C13" s="23"/>
    </row>
    <row r="14" spans="1:4" x14ac:dyDescent="0.15">
      <c r="A14" s="22">
        <v>50</v>
      </c>
      <c r="C14" s="23">
        <f>52*$A14/20</f>
        <v>130</v>
      </c>
      <c r="D14" s="23"/>
    </row>
    <row r="15" spans="1:4" x14ac:dyDescent="0.15">
      <c r="A15" s="22">
        <v>100</v>
      </c>
      <c r="C15" s="23">
        <f>52*$A15/20</f>
        <v>260</v>
      </c>
      <c r="D15" s="23"/>
    </row>
    <row r="16" spans="1:4" x14ac:dyDescent="0.15">
      <c r="A16" s="22">
        <v>150</v>
      </c>
      <c r="C16" s="23">
        <f>52*$A16/20</f>
        <v>390</v>
      </c>
      <c r="D16" s="23"/>
    </row>
    <row r="17" spans="1:4" x14ac:dyDescent="0.15">
      <c r="C17" s="23"/>
      <c r="D17" s="23"/>
    </row>
    <row r="18" spans="1:4" x14ac:dyDescent="0.15">
      <c r="A18" s="22" t="s">
        <v>39</v>
      </c>
      <c r="C18" s="24">
        <f>SUM(C10:C17)</f>
        <v>1560</v>
      </c>
      <c r="D18" s="26"/>
    </row>
    <row r="19" spans="1:4" x14ac:dyDescent="0.15">
      <c r="C19" s="23"/>
      <c r="D19" s="23"/>
    </row>
    <row r="20" spans="1:4" x14ac:dyDescent="0.15">
      <c r="A20" s="22" t="s">
        <v>43</v>
      </c>
      <c r="C20" s="24">
        <f>C6-C18</f>
        <v>1040</v>
      </c>
      <c r="D20" s="26"/>
    </row>
    <row r="21" spans="1:4" x14ac:dyDescent="0.15">
      <c r="D21" s="34" t="s">
        <v>56</v>
      </c>
    </row>
    <row r="22" spans="1:4" x14ac:dyDescent="0.15">
      <c r="A22" s="22" t="s">
        <v>47</v>
      </c>
      <c r="C22" s="23">
        <v>900</v>
      </c>
      <c r="D22" s="35">
        <v>900</v>
      </c>
    </row>
    <row r="23" spans="1:4" x14ac:dyDescent="0.15">
      <c r="A23" s="22" t="s">
        <v>46</v>
      </c>
      <c r="C23" s="23">
        <v>1084</v>
      </c>
      <c r="D23" s="35">
        <f>(C23+C22)/2</f>
        <v>992</v>
      </c>
    </row>
    <row r="24" spans="1:4" x14ac:dyDescent="0.15">
      <c r="A24" s="22" t="s">
        <v>48</v>
      </c>
      <c r="C24" s="23">
        <v>600</v>
      </c>
      <c r="D24" s="35">
        <f>(C24+C23+C22)/3</f>
        <v>861.33333333333337</v>
      </c>
    </row>
    <row r="25" spans="1:4" x14ac:dyDescent="0.15">
      <c r="A25" s="22" t="s">
        <v>50</v>
      </c>
      <c r="C25" s="23">
        <v>1200</v>
      </c>
      <c r="D25" s="35">
        <f>(C25+C24+C23+C22)/4</f>
        <v>946</v>
      </c>
    </row>
    <row r="26" spans="1:4" x14ac:dyDescent="0.15">
      <c r="A26" s="22" t="s">
        <v>52</v>
      </c>
      <c r="C26" s="23">
        <f>600+800</f>
        <v>1400</v>
      </c>
      <c r="D26" s="35">
        <f>(C26+C25+C24+C23+C22)/5</f>
        <v>1036.8</v>
      </c>
    </row>
    <row r="27" spans="1:4" x14ac:dyDescent="0.15">
      <c r="A27" s="22" t="s">
        <v>55</v>
      </c>
      <c r="C27" s="23">
        <v>900</v>
      </c>
      <c r="D27" s="35">
        <f>(C27+C26+C25+C24+C23+C22)/6</f>
        <v>1014</v>
      </c>
    </row>
    <row r="28" spans="1:4" x14ac:dyDescent="0.15">
      <c r="A28" s="22" t="s">
        <v>60</v>
      </c>
      <c r="C28" s="23">
        <f>400+700</f>
        <v>1100</v>
      </c>
      <c r="D28" s="35">
        <f>(C28+C27+C26+C25+C24+C23+C22)/7</f>
        <v>1026.2857142857142</v>
      </c>
    </row>
    <row r="29" spans="1:4" x14ac:dyDescent="0.15">
      <c r="A29" s="22" t="s">
        <v>63</v>
      </c>
      <c r="C29" s="23">
        <v>1000</v>
      </c>
      <c r="D29" s="35">
        <f>(C29+C28+C27+C26+C25+C24+C23+C22)/8</f>
        <v>1023</v>
      </c>
    </row>
    <row r="30" spans="1:4" x14ac:dyDescent="0.15">
      <c r="A30" s="22" t="s">
        <v>67</v>
      </c>
      <c r="C30" s="23">
        <v>600</v>
      </c>
      <c r="D30" s="35">
        <f>(C30+C29+C28+C27+C26+C25+C24+C23+C22)/9</f>
        <v>976</v>
      </c>
    </row>
    <row r="31" spans="1:4" x14ac:dyDescent="0.15">
      <c r="A31" s="22" t="s">
        <v>71</v>
      </c>
      <c r="C31" s="23">
        <v>0</v>
      </c>
      <c r="D31" s="35">
        <f>(C31+C30+C29+C28+C27+C26+C25+C24+C23+C22)/10</f>
        <v>878.4</v>
      </c>
    </row>
  </sheetData>
  <phoneticPr fontId="0" type="noConversion"/>
  <pageMargins left="0.75" right="0.75" top="1" bottom="1" header="0.5" footer="0.5"/>
  <pageSetup paperSize="9" orientation="landscape" horizontalDpi="4294967293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76171875" defaultRowHeight="12.75" x14ac:dyDescent="0.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Income</vt:lpstr>
      <vt:lpstr>Expenditure</vt:lpstr>
      <vt:lpstr>Summary</vt:lpstr>
      <vt:lpstr>200club</vt:lpstr>
      <vt:lpstr>Sheet1</vt:lpstr>
      <vt:lpstr>Expenditure!Print_Area</vt:lpstr>
      <vt:lpstr>Income!Print_Area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Peacock</dc:creator>
  <cp:lastModifiedBy>DAVE</cp:lastModifiedBy>
  <cp:lastPrinted>2018-11-05T12:21:13Z</cp:lastPrinted>
  <dcterms:created xsi:type="dcterms:W3CDTF">2006-10-31T14:20:13Z</dcterms:created>
  <dcterms:modified xsi:type="dcterms:W3CDTF">2018-11-05T12:22:02Z</dcterms:modified>
</cp:coreProperties>
</file>